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hidePivotFieldList="1" defaultThemeVersion="124226"/>
  <mc:AlternateContent xmlns:mc="http://schemas.openxmlformats.org/markup-compatibility/2006">
    <mc:Choice Requires="x15">
      <x15ac:absPath xmlns:x15ac="http://schemas.microsoft.com/office/spreadsheetml/2010/11/ac" url="D:\UNIVERSIDAD DE CALDAS\RIESGOS\2025\"/>
    </mc:Choice>
  </mc:AlternateContent>
  <xr:revisionPtr revIDLastSave="0" documentId="8_{CEE5F8BE-F11A-4FB9-B65A-17B777272F90}" xr6:coauthVersionLast="47" xr6:coauthVersionMax="47" xr10:uidLastSave="{00000000-0000-0000-0000-000000000000}"/>
  <bookViews>
    <workbookView xWindow="-108" yWindow="-108" windowWidth="23256" windowHeight="12456"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 l="1"/>
  <c r="T10" i="1"/>
  <c r="Q10" i="1"/>
  <c r="H10" i="1"/>
  <c r="I10" i="1" s="1"/>
  <c r="K43" i="1"/>
  <c r="K56" i="1"/>
  <c r="K19" i="1"/>
  <c r="K66" i="1"/>
  <c r="K26" i="1"/>
  <c r="K44" i="1"/>
  <c r="K67" i="1"/>
  <c r="K33" i="1"/>
  <c r="K50" i="1"/>
  <c r="K61" i="1"/>
  <c r="K39" i="1"/>
  <c r="K59" i="1"/>
  <c r="K68" i="1"/>
  <c r="K41" i="1"/>
  <c r="K31" i="1"/>
  <c r="K37" i="1"/>
  <c r="K49" i="1"/>
  <c r="K54" i="1"/>
  <c r="K65" i="1"/>
  <c r="K55" i="1"/>
  <c r="K32" i="1"/>
  <c r="K38" i="1"/>
  <c r="K63" i="1"/>
  <c r="K60" i="1"/>
  <c r="K69" i="1"/>
  <c r="K57" i="1"/>
  <c r="K47" i="1"/>
  <c r="K30" i="1"/>
  <c r="K29" i="1"/>
  <c r="K23" i="1"/>
  <c r="K35" i="1"/>
  <c r="K36" i="1"/>
  <c r="K42" i="1"/>
  <c r="K53" i="1"/>
  <c r="K62" i="1"/>
  <c r="K20" i="1"/>
  <c r="K27" i="1"/>
  <c r="K18" i="1"/>
  <c r="K51" i="1"/>
  <c r="K24" i="1"/>
  <c r="K48" i="1"/>
  <c r="K21" i="1"/>
  <c r="K25" i="1"/>
  <c r="K45" i="1"/>
  <c r="K17" i="1"/>
  <c r="F221" i="13" l="1"/>
  <c r="F211" i="13"/>
  <c r="F212" i="13"/>
  <c r="F213" i="13"/>
  <c r="F214" i="13"/>
  <c r="F215" i="13"/>
  <c r="F216" i="13"/>
  <c r="F217" i="13"/>
  <c r="F218" i="13"/>
  <c r="F219" i="13"/>
  <c r="F220" i="13"/>
  <c r="F210" i="13"/>
  <c r="K14" i="1"/>
  <c r="B221" i="13" a="1"/>
  <c r="K15" i="1"/>
  <c r="K12" i="1"/>
  <c r="K13" i="1"/>
  <c r="K11"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66" i="1"/>
  <c r="AB59" i="1"/>
  <c r="AB58" i="1"/>
  <c r="AB41" i="1"/>
  <c r="AB40" i="1"/>
  <c r="AA40" i="1" s="1"/>
  <c r="AB53" i="1"/>
  <c r="AB52" i="1"/>
  <c r="AA52" i="1" s="1"/>
  <c r="AA10" i="1"/>
  <c r="AB11" i="1"/>
  <c r="AB17" i="1"/>
  <c r="AB16" i="1"/>
  <c r="AA16" i="1" s="1"/>
  <c r="AB23" i="1"/>
  <c r="AB22" i="1"/>
  <c r="AA22" i="1" s="1"/>
  <c r="AB47" i="1"/>
  <c r="AB46" i="1"/>
  <c r="AA46" i="1" s="1"/>
  <c r="AB35" i="1"/>
  <c r="AB34" i="1"/>
  <c r="AA34" i="1" s="1"/>
  <c r="AB29" i="1" l="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A23" i="1"/>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B14" i="1" l="1"/>
  <c r="AA14" i="1" s="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tc={4AC0C553-2484-4D3D-B2AB-0BBCA8A2365C}</author>
  </authors>
  <commentList>
    <comment ref="G22"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nro de auditorias al año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<sst xmlns="http://schemas.openxmlformats.org/spreadsheetml/2006/main" count="511" uniqueCount="266">
  <si>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</si>
  <si>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</si>
  <si>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</si>
  <si>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</si>
  <si>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</si>
  <si>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</si>
  <si>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</si>
  <si>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</si>
  <si>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</si>
  <si>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</si>
  <si>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</si>
  <si>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</si>
  <si>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</si>
  <si>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</si>
  <si>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</si>
  <si>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</si>
  <si>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</si>
  <si>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</si>
  <si>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</si>
  <si>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</si>
  <si>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</si>
  <si>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</si>
  <si>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</si>
  <si>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</si>
  <si>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</si>
  <si>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</si>
  <si>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</si>
  <si>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</si>
  <si>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</si>
  <si>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</si>
  <si>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</si>
  <si>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</si>
  <si>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</si>
  <si>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</si>
  <si>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</si>
  <si>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</si>
  <si>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</si>
  <si>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</si>
  <si>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</si>
  <si>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</si>
  <si>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</si>
  <si>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</si>
  <si>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</si>
  <si>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</si>
  <si>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</si>
  <si>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</si>
  <si>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</si>
  <si>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</si>
  <si>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</si>
  <si>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</si>
  <si>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</si>
  <si>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</si>
  <si>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</si>
  <si>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</si>
  <si>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</si>
  <si>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</si>
  <si>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</si>
  <si>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</si>
  <si>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</si>
  <si>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</si>
  <si>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</si>
  <si>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</si>
  <si>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</si>
  <si>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</si>
  <si>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</si>
  <si>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</si>
  <si>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</si>
  <si>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</si>
  <si>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</si>
  <si>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</si>
  <si>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</si>
  <si>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</si>
  <si>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</si>
  <si>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</si>
  <si>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</si>
  <si>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</si>
  <si>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</si>
  <si>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</si>
  <si>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</si>
  <si>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</si>
  <si>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</si>
  <si>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</si>
  <si>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</si>
  <si>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</si>
  <si>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</si>
  <si>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</si>
  <si>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</si>
  <si>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</si>
  <si>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</si>
  <si>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</si>
  <si>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</si>
  <si>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</si>
  <si>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</si>
  <si>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</si>
  <si>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</si>
  <si>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</si>
  <si>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</si>
  <si>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</si>
  <si>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</si>
  <si>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</si>
  <si>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</si>
  <si>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</si>
  <si>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</si>
  <si>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</si>
  <si>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</si>
  <si>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</si>
  <si>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</si>
  <si>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</si>
  <si>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</si>
  <si>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</si>
  <si>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</si>
  <si>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</si>
  <si>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</si>
  <si>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</si>
  <si>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</si>
  <si>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</si>
  <si>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</si>
  <si>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</si>
  <si>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</si>
  <si>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</si>
  <si>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</si>
  <si>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</si>
  <si>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</si>
  <si>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</si>
  <si>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</si>
  <si>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</si>
  <si>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</si>
  <si>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</si>
  <si>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</si>
  <si>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</si>
  <si>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</si>
  <si>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</si>
  <si>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</si>
  <si>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</si>
  <si>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</si>
  <si>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</si>
  <si>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</si>
  <si>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</si>
  <si>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</si>
  <si>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</si>
  <si>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</si>
  <si>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</si>
  <si>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</si>
  <si>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</si>
  <si>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</si>
  <si>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</si>
  <si>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</si>
  <si>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</si>
  <si>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</si>
  <si>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</si>
  <si>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</si>
  <si>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</si>
  <si>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</si>
  <si>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</si>
  <si>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</si>
  <si>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</si>
  <si>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</si>
  <si>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</si>
  <si>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</si>
  <si>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</si>
  <si>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</si>
  <si>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</si>
  <si>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</si>
  <si>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</si>
  <si>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</si>
  <si>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</si>
  <si>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</si>
  <si>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</si>
  <si>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</si>
  <si>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</si>
  <si>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</si>
  <si>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</si>
  <si>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</si>
  <si>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</si>
  <si>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</si>
  <si>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</si>
  <si>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</si>
  <si>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</si>
  <si>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</si>
  <si>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</si>
  <si>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</si>
  <si>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</si>
  <si>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</si>
  <si>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</si>
  <si>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</si>
  <si>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</si>
  <si>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</si>
  <si>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</si>
  <si>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</si>
  <si>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</si>
  <si>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</si>
  <si>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</si>
  <si>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</si>
  <si>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</si>
  <si>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</si>
  <si>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</si>
  <si>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</si>
  <si>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</si>
  <si>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</si>
  <si>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</si>
  <si>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</si>
  <si>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</si>
  <si>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</si>
  <si>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</si>
  <si>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</si>
  <si>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</si>
  <si>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</si>
  <si>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</si>
  <si>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</si>
  <si>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</si>
  <si>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</si>
  <si>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</si>
  <si>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</si>
  <si>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Bajo cubrimiento de las áreas de la entidad en cuanto a evaluaciones y seguimiento en procesos de auditoría.</t>
  </si>
  <si>
    <t>PROCESO CONTROL Y SEGUIMIENTO</t>
  </si>
  <si>
    <t>El alcance del proceso involucra actividades de elaboración del plan anual de auditorías, pasando por la realización de las mismas, la administración del riesgo, la evaluación del sistema de control interno, la atención a organismos de control del estado, el análisis de riesgos hasta el establecimiento de acciones para la mejora continua.</t>
  </si>
  <si>
    <t>Fallas en la custodia de la información</t>
  </si>
  <si>
    <t>Concentración en temas de informes obligatorios y otros asuntos alternos</t>
  </si>
  <si>
    <t>Emisión continua de normas internas. Interna
Emisión continua de normas externas Externa</t>
  </si>
  <si>
    <t>Aprobar Codigo de Etica del Auditor, socializar y realizar evaluación de auditores</t>
  </si>
  <si>
    <t>Asesor Control Interno</t>
  </si>
  <si>
    <t>31/06/2021</t>
  </si>
  <si>
    <t>Solicitar capacitación dentro del programa de capacitación institucional al equipo de control interno cuando sea necesario</t>
  </si>
  <si>
    <t>Elaborar un cronograma de auditorías obligatorias con el propósito de estar atentos a la fecha de remisión de informes a los
entes de control dando oportuna información al Jefe de la Oficina de Control Interno.</t>
  </si>
  <si>
    <t xml:space="preserve">El programa de auditorias se ve interrumpido por la necesidad de hacer auditorias para atender quejas
y solicitudes de información. Muchos casos de auditoria urgentes aplazan los importantes.
Uso del mecanismo de solicitud de auditoria interna por parte de los funcionarios para develar
situaciones anómalas que podrían ser analizadas y resueltas en otras instancias por la vía de la
resolución asertiva de conflictos.
Falta recurso humano.
Concentración de labores relacionadas con informes obligatorios.
Cambios en el cronograma del plan de auditoria.
Debilidad en la capacitación continua del equipo de auditoria
</t>
  </si>
  <si>
    <t>Fomentar la cultura de autocontrol a traves de la generación de indicadores, planes de acción por procesos, gestión de riesgo; asesoria y acompañamiento a los procesos para mejores practicas que fortalezcan el resultado y alcance de los objetivos por proceso.</t>
  </si>
  <si>
    <t>proponer a planeación la reactivación de planes de acción por proceso y realización de autodiagnosticos para su implementación</t>
  </si>
  <si>
    <t xml:space="preserve">Elaborar matriz de priorización de riesgos para formular plan de auditoria </t>
  </si>
  <si>
    <t>Equipo de Control Interno</t>
  </si>
  <si>
    <t>Elaboración de proyecto de plan de auditoria para aprobación del comité de control interno basado matriz  en riesgos priorizados (universo de auditorias).</t>
  </si>
  <si>
    <t xml:space="preserve">Influencia indebida hacia los auditores internos o externos.
Vinculos de amistad o afinidad de auditores hacia sus auditados 
Falta de principios eticos y morales de los auditores 
Auditores internos con conflictos que se manifiestan en intereses particulares durante el ejercicio de
las auditorias.
</t>
  </si>
  <si>
    <t>Falta de independencia en el ejercicio de auditoria por influencia interna o externa</t>
  </si>
  <si>
    <t>Desconocimiento Cambios normativos internos y externos</t>
  </si>
  <si>
    <t>Errores en la información o demoras  en el suministro de esta; requerida para llevar a cabo el proceso auditor o dar respuesta a informes a entes reguladores o de control</t>
  </si>
  <si>
    <t>Acceso a las consultas de los diferentes  sistemas de información, perfil de consulta.</t>
  </si>
  <si>
    <t>Solicitar a sistemas la generación de consultas especificas para el área, e incorporlo en el sistema información (sistema financiero-inventario de bienes, sara -nomina, nuevo sia-gestion docente, etc). Generar consutas en linea</t>
  </si>
  <si>
    <t>Documentar o actualizar cronograma de exigibilidades de control interno y solicitar la proyección por procesos</t>
  </si>
  <si>
    <t xml:space="preserve">Realizada desde planeación </t>
  </si>
  <si>
    <t>implementada desde el 2022</t>
  </si>
  <si>
    <t>Aprobado en dic 2022, socializada diligenciamiento de compromiso ético de auditores</t>
  </si>
  <si>
    <t>Inconsistencias en las bases de datos, errores de consultas, inoportunidad en entrega</t>
  </si>
  <si>
    <t>Formalización de consultas por la mesa de ayuda, las cuales se configuran como consulta desde el sistema</t>
  </si>
  <si>
    <t>Dificultad en el seguimiento a procesos por cambios continuos en la normatividad externa e interna</t>
  </si>
  <si>
    <t>Comunicar y socializar el programa anual de auditorías, una vez 
sea aprobado, con el fin de darlo a conocer a las dependencias auditables, indicando las fechas probables de auditoria para que
la información necesaria sea acopiada oportunamente. Tiempo: De acuerdo al cronograma establecido en el programa de
auditorías.</t>
  </si>
  <si>
    <t>Contribuir a una gestión eficiente, transparente y orientada al mejoramiento continuo, mediante la evaluación independiente y objetiva de los procesos, riesgos, controles y resultados institucionales. Su propósito es contribuir al cumplimiento de los objetivos misionales de la entidad, fortaleciendo la cultura del autocontrol, la rendición de cuentas y el cumplimiento normativo.</t>
  </si>
  <si>
    <t>Bases de datos con información no concordante o desactualizada
Falta de depuración de las bases de datos enviadas desde las diferentes fuentes de información
Atrasos en el reporte de información por atender otras prioridades
Negligencia para atender este tipo de requerimientos
No revisión del cronograma de informes y/o plan de auditorias.
Falta de planeación del control interno. 
Fallas en los sistemas de información de la institución que generen retrasos en la presentación de los
informes.</t>
  </si>
  <si>
    <t>Realizar copia de seguridad de los archivos de la OCI, en disco duro externo (secretaria de la oficina). La unidad externa es conservada en la secretaría de la oficina como evidencia de la ejecución del control. Tiempo: Mensualmente.</t>
  </si>
  <si>
    <t>Publicar las auditorías de gestión realizadas a la página web institucional las cuales quedan conservadas en el servidor de la oficina de sistemas. La evidencia de la ejecución del control es la página web institucional.</t>
  </si>
  <si>
    <t xml:space="preserve">Remitir al líder del proceso auditado todos los informes de auditoría debidamente escaneados. Estos se envían a través del sistema ADMIARCHI, donde queda registrada la evidencia. Asimismo, la copia digital permanece en poder del asesor titular de la Oficina de Control Interno.
</t>
  </si>
  <si>
    <t>Organizar la documentación física y virtual con base en las TRD, garantizando su adecuada custodia en el Archivo Central y su transmisión a través del sistema ADMIARCHI</t>
  </si>
  <si>
    <t>Aplicar líneas de comunicación institucional, con base en el Manual de Medios Institucionales y la Política de Comunicaciones, que permitan garantizar una comunicación clara, transparente y coherente hacia la comunidad en general.</t>
  </si>
  <si>
    <t xml:space="preserve">Manifestar la necesidad de contratar auditores externos para realizar auditorías especiales o para casos específicos, conforme a lo aprobado en el programa de auditorías (Jefe de la Oficina Asesora de Control Interno). Como evidencia  del control, se revisan los casos específicos de auditoria, de conformidad con el plan de auditorías aprobado.
</t>
  </si>
  <si>
    <t>Ejecutar el programa anual de auditorías aprobado por el Comité de Coordinación de Control Interno, asegurando los recursos requeridos para su cumplimiento, con el objeto de llevar a cabalidad el mismo. La actividad se evidencia en un acta del Comité y decisiones adoptadas. Tiempo: De conformidad con el cronograma establecido en la programa de auditorías.</t>
  </si>
  <si>
    <t>Generar el “código de ética”, el cual una vez aprobado por el Comité  Coordinador de Control Interno, es de obligatorio cumplimiento por parte de los auditores. Como  evidencia de su acatamiento se suscribe el compromiso ético del auditor interno”. Evaluación de auditores internos</t>
  </si>
  <si>
    <t>Revisar y aprobar todos los informes de auditorías de gestión emitidos por parte del asesor titular del despacho. Como  evidencia del uso del control, quedan los informes suscritos por el Jefe de la Oficina y el auditor. Cada vez que se generen.</t>
  </si>
  <si>
    <t xml:space="preserve">Consultar permanentemente la normatividad externa y asistir a capacitaciones programadas por los diferentes entes reguladores y de control. Asimismo, establecer contactos para pertenecer a grupos de control interno entre otros, como red o grupo de apoyo
</t>
  </si>
  <si>
    <t>Pérdida de independencia en el ejercicio de auditorias internas</t>
  </si>
  <si>
    <t>Pérdida, sustracción indebida o alteración de la información o registros correspondientes a las auditorías internas.</t>
  </si>
  <si>
    <t>Acceso a información, consulta del archivo físico de Informes y soportes de auditoría. Externa:
Falla de los servidores que almacenan información Externa
Delitos informáticos Externa
Plagio intencional de los informes. Transcripción. Externa
Difusión no autorizada de información</t>
  </si>
  <si>
    <t>Auditorías externas y revisión de informes de auditorías internas por entes reguladores y de control.</t>
  </si>
  <si>
    <t>Realizar la elección de asesor de control interno mediante proceso meritocrático e independiente por el Consejo Superior</t>
  </si>
  <si>
    <t xml:space="preserve">Consultar vía internet e intranet de la información emitida por la entidad, revisar el boletín informativo Universidad de Caldas
</t>
  </si>
  <si>
    <t>Notificar el inicio de la auditoría y establecer dentro del requerimiento de información tiempos de respuesta</t>
  </si>
  <si>
    <t>Identificar a través de audítorías, las bases de datos inconsistentes para su depuración y establecer si es necesario planes de mejora</t>
  </si>
  <si>
    <t xml:space="preserve">Se rige por el acuerdo 56 de 2018 y el plan de auditoría vigente </t>
  </si>
  <si>
    <t xml:space="preserve">Actualizar el cronograma de exigibilidades.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</si>
</sst>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pplyProtection="1">
      <alignment horizontal="justify" vertical="center" wrapText="1"/>
      <protection locked="0"/>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textRotation="90"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ersons/person.xml><?xml version="1.0" encoding="utf-8"?>
<personList xmlns="http://schemas.microsoft.com/office/spreadsheetml/2018/threadedcomments" xmlns:x="http://schemas.openxmlformats.org/spreadsheetml/2006/main">
  <person displayName="LINA MARIA  SERNA JARAMILLO" id="{523CA8EA-35C7-40C0-AB85-E5303671DE27}" userId="S::lina.serna@ucaldas2020.onmicrosoft.com::f1de15db-0c16-4cb0-b610-9fa0ed701dd9"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22" dT="2021-11-04T19:28:44.25" personId="{523CA8EA-35C7-40C0-AB85-E5303671DE27}" id="{4AC0C553-2484-4D3D-B2AB-0BBCA8A2365C}">
    <text>nro de auditorias al año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topLeftCell="A37" zoomScale="110" zoomScaleNormal="110" workbookViewId="0">
      <selection activeCell="E27" sqref="E27:F27"/>
    </sheetView>
  </sheetViews>
  <sheetFormatPr baseColWidth="10" defaultColWidth="11.44140625" defaultRowHeight="14.4" x14ac:dyDescent="0.3"/>
  <cols>
    <col min="1" max="1" width="2.88671875" style="97" customWidth="1"/>
    <col min="2" max="3" width="24.6640625" style="97" customWidth="1"/>
    <col min="4" max="4" width="16" style="97" customWidth="1"/>
    <col min="5" max="5" width="24.6640625" style="97" customWidth="1"/>
    <col min="6" max="6" width="27.6640625" style="97" customWidth="1"/>
    <col min="7" max="8" width="24.6640625" style="97" customWidth="1"/>
    <col min="9" max="16384" width="11.44140625" style="97"/>
  </cols>
  <sheetData>
    <row r="1" spans="2:8" ht="15" thickBot="1" x14ac:dyDescent="0.35"/>
    <row r="2" spans="2:8" ht="18" x14ac:dyDescent="0.3">
      <c r="B2" s="138" t="s">
        <v>165</v>
      </c>
      <c r="C2" s="139"/>
      <c r="D2" s="139"/>
      <c r="E2" s="139"/>
      <c r="F2" s="139"/>
      <c r="G2" s="139"/>
      <c r="H2" s="140"/>
    </row>
    <row r="3" spans="2:8" x14ac:dyDescent="0.3">
      <c r="B3" s="98"/>
      <c r="C3" s="99"/>
      <c r="D3" s="99"/>
      <c r="E3" s="99"/>
      <c r="F3" s="99"/>
      <c r="G3" s="99"/>
      <c r="H3" s="100"/>
    </row>
    <row r="4" spans="2:8" ht="63" customHeight="1" x14ac:dyDescent="0.3">
      <c r="B4" s="141" t="s">
        <v>208</v>
      </c>
      <c r="C4" s="142"/>
      <c r="D4" s="142"/>
      <c r="E4" s="142"/>
      <c r="F4" s="142"/>
      <c r="G4" s="142"/>
      <c r="H4" s="143"/>
    </row>
    <row r="5" spans="2:8" ht="63" customHeight="1" x14ac:dyDescent="0.3">
      <c r="B5" s="144"/>
      <c r="C5" s="145"/>
      <c r="D5" s="145"/>
      <c r="E5" s="145"/>
      <c r="F5" s="145"/>
      <c r="G5" s="145"/>
      <c r="H5" s="146"/>
    </row>
    <row r="6" spans="2:8" x14ac:dyDescent="0.3">
      <c r="B6" s="147" t="s">
        <v>163</v>
      </c>
      <c r="C6" s="148"/>
      <c r="D6" s="148"/>
      <c r="E6" s="148"/>
      <c r="F6" s="148"/>
      <c r="G6" s="148"/>
      <c r="H6" s="149"/>
    </row>
    <row r="7" spans="2:8" ht="95.25" customHeight="1" x14ac:dyDescent="0.3">
      <c r="B7" s="157" t="s">
        <v>168</v>
      </c>
      <c r="C7" s="158"/>
      <c r="D7" s="158"/>
      <c r="E7" s="158"/>
      <c r="F7" s="158"/>
      <c r="G7" s="158"/>
      <c r="H7" s="159"/>
    </row>
    <row r="8" spans="2:8" x14ac:dyDescent="0.3">
      <c r="B8" s="134"/>
      <c r="C8" s="135"/>
      <c r="D8" s="135"/>
      <c r="E8" s="135"/>
      <c r="F8" s="135"/>
      <c r="G8" s="135"/>
      <c r="H8" s="136"/>
    </row>
    <row r="9" spans="2:8" ht="16.5" customHeight="1" x14ac:dyDescent="0.3">
      <c r="B9" s="150" t="s">
        <v>201</v>
      </c>
      <c r="C9" s="151"/>
      <c r="D9" s="151"/>
      <c r="E9" s="151"/>
      <c r="F9" s="151"/>
      <c r="G9" s="151"/>
      <c r="H9" s="152"/>
    </row>
    <row r="10" spans="2:8" ht="44.25" customHeight="1" x14ac:dyDescent="0.3">
      <c r="B10" s="150"/>
      <c r="C10" s="151"/>
      <c r="D10" s="151"/>
      <c r="E10" s="151"/>
      <c r="F10" s="151"/>
      <c r="G10" s="151"/>
      <c r="H10" s="152"/>
    </row>
    <row r="11" spans="2:8" ht="15" thickBot="1" x14ac:dyDescent="0.35">
      <c r="B11" s="123"/>
      <c r="C11" s="126"/>
      <c r="D11" s="131"/>
      <c r="E11" s="132"/>
      <c r="F11" s="132"/>
      <c r="G11" s="133"/>
      <c r="H11" s="127"/>
    </row>
    <row r="12" spans="2:8" ht="15" thickTop="1" x14ac:dyDescent="0.3">
      <c r="B12" s="123"/>
      <c r="C12" s="153" t="s">
        <v>164</v>
      </c>
      <c r="D12" s="154"/>
      <c r="E12" s="155" t="s">
        <v>202</v>
      </c>
      <c r="F12" s="156"/>
      <c r="G12" s="126"/>
      <c r="H12" s="127"/>
    </row>
    <row r="13" spans="2:8" ht="35.25" customHeight="1" x14ac:dyDescent="0.3">
      <c r="B13" s="123"/>
      <c r="C13" s="160" t="s">
        <v>195</v>
      </c>
      <c r="D13" s="161"/>
      <c r="E13" s="162" t="s">
        <v>200</v>
      </c>
      <c r="F13" s="163"/>
      <c r="G13" s="126"/>
      <c r="H13" s="127"/>
    </row>
    <row r="14" spans="2:8" ht="17.25" customHeight="1" x14ac:dyDescent="0.3">
      <c r="B14" s="123"/>
      <c r="C14" s="160" t="s">
        <v>196</v>
      </c>
      <c r="D14" s="161"/>
      <c r="E14" s="162" t="s">
        <v>198</v>
      </c>
      <c r="F14" s="163"/>
      <c r="G14" s="126"/>
      <c r="H14" s="127"/>
    </row>
    <row r="15" spans="2:8" ht="19.5" customHeight="1" x14ac:dyDescent="0.3">
      <c r="B15" s="123"/>
      <c r="C15" s="160" t="s">
        <v>197</v>
      </c>
      <c r="D15" s="161"/>
      <c r="E15" s="162" t="s">
        <v>199</v>
      </c>
      <c r="F15" s="163"/>
      <c r="G15" s="126"/>
      <c r="H15" s="127"/>
    </row>
    <row r="16" spans="2:8" ht="69.75" customHeight="1" x14ac:dyDescent="0.3">
      <c r="B16" s="123"/>
      <c r="C16" s="160" t="s">
        <v>166</v>
      </c>
      <c r="D16" s="161"/>
      <c r="E16" s="162" t="s">
        <v>167</v>
      </c>
      <c r="F16" s="163"/>
      <c r="G16" s="126"/>
      <c r="H16" s="127"/>
    </row>
    <row r="17" spans="2:8" ht="34.5" customHeight="1" x14ac:dyDescent="0.3">
      <c r="B17" s="123"/>
      <c r="C17" s="164" t="s">
        <v>2</v>
      </c>
      <c r="D17" s="165"/>
      <c r="E17" s="166" t="s">
        <v>209</v>
      </c>
      <c r="F17" s="167"/>
      <c r="G17" s="126"/>
      <c r="H17" s="127"/>
    </row>
    <row r="18" spans="2:8" ht="27.75" customHeight="1" x14ac:dyDescent="0.3">
      <c r="B18" s="123"/>
      <c r="C18" s="164" t="s">
        <v>3</v>
      </c>
      <c r="D18" s="165"/>
      <c r="E18" s="166" t="s">
        <v>210</v>
      </c>
      <c r="F18" s="167"/>
      <c r="G18" s="126"/>
      <c r="H18" s="127"/>
    </row>
    <row r="19" spans="2:8" ht="28.5" customHeight="1" x14ac:dyDescent="0.3">
      <c r="B19" s="123"/>
      <c r="C19" s="164" t="s">
        <v>42</v>
      </c>
      <c r="D19" s="165"/>
      <c r="E19" s="166" t="s">
        <v>211</v>
      </c>
      <c r="F19" s="167"/>
      <c r="G19" s="126"/>
      <c r="H19" s="127"/>
    </row>
    <row r="20" spans="2:8" ht="72.75" customHeight="1" x14ac:dyDescent="0.3">
      <c r="B20" s="123"/>
      <c r="C20" s="164" t="s">
        <v>1</v>
      </c>
      <c r="D20" s="165"/>
      <c r="E20" s="166" t="s">
        <v>212</v>
      </c>
      <c r="F20" s="167"/>
      <c r="G20" s="126"/>
      <c r="H20" s="127"/>
    </row>
    <row r="21" spans="2:8" ht="64.5" customHeight="1" x14ac:dyDescent="0.3">
      <c r="B21" s="123"/>
      <c r="C21" s="164" t="s">
        <v>50</v>
      </c>
      <c r="D21" s="165"/>
      <c r="E21" s="166" t="s">
        <v>170</v>
      </c>
      <c r="F21" s="167"/>
      <c r="G21" s="126"/>
      <c r="H21" s="127"/>
    </row>
    <row r="22" spans="2:8" ht="71.25" customHeight="1" x14ac:dyDescent="0.3">
      <c r="B22" s="123"/>
      <c r="C22" s="164" t="s">
        <v>169</v>
      </c>
      <c r="D22" s="165"/>
      <c r="E22" s="166" t="s">
        <v>171</v>
      </c>
      <c r="F22" s="167"/>
      <c r="G22" s="126"/>
      <c r="H22" s="127"/>
    </row>
    <row r="23" spans="2:8" ht="55.5" customHeight="1" x14ac:dyDescent="0.3">
      <c r="B23" s="123"/>
      <c r="C23" s="171" t="s">
        <v>172</v>
      </c>
      <c r="D23" s="172"/>
      <c r="E23" s="166" t="s">
        <v>173</v>
      </c>
      <c r="F23" s="167"/>
      <c r="G23" s="126"/>
      <c r="H23" s="127"/>
    </row>
    <row r="24" spans="2:8" ht="42" customHeight="1" x14ac:dyDescent="0.3">
      <c r="B24" s="123"/>
      <c r="C24" s="171" t="s">
        <v>48</v>
      </c>
      <c r="D24" s="172"/>
      <c r="E24" s="166" t="s">
        <v>174</v>
      </c>
      <c r="F24" s="167"/>
      <c r="G24" s="126"/>
      <c r="H24" s="127"/>
    </row>
    <row r="25" spans="2:8" ht="59.25" customHeight="1" x14ac:dyDescent="0.3">
      <c r="B25" s="123"/>
      <c r="C25" s="171" t="s">
        <v>162</v>
      </c>
      <c r="D25" s="172"/>
      <c r="E25" s="166" t="s">
        <v>175</v>
      </c>
      <c r="F25" s="167"/>
      <c r="G25" s="126"/>
      <c r="H25" s="127"/>
    </row>
    <row r="26" spans="2:8" ht="23.25" customHeight="1" x14ac:dyDescent="0.3">
      <c r="B26" s="123"/>
      <c r="C26" s="171" t="s">
        <v>12</v>
      </c>
      <c r="D26" s="172"/>
      <c r="E26" s="166" t="s">
        <v>176</v>
      </c>
      <c r="F26" s="167"/>
      <c r="G26" s="126"/>
      <c r="H26" s="127"/>
    </row>
    <row r="27" spans="2:8" ht="30.75" customHeight="1" x14ac:dyDescent="0.3">
      <c r="B27" s="123"/>
      <c r="C27" s="171" t="s">
        <v>180</v>
      </c>
      <c r="D27" s="172"/>
      <c r="E27" s="166" t="s">
        <v>177</v>
      </c>
      <c r="F27" s="167"/>
      <c r="G27" s="126"/>
      <c r="H27" s="127"/>
    </row>
    <row r="28" spans="2:8" ht="35.25" customHeight="1" x14ac:dyDescent="0.3">
      <c r="B28" s="123"/>
      <c r="C28" s="171" t="s">
        <v>181</v>
      </c>
      <c r="D28" s="172"/>
      <c r="E28" s="166" t="s">
        <v>178</v>
      </c>
      <c r="F28" s="167"/>
      <c r="G28" s="126"/>
      <c r="H28" s="127"/>
    </row>
    <row r="29" spans="2:8" ht="33" customHeight="1" x14ac:dyDescent="0.3">
      <c r="B29" s="123"/>
      <c r="C29" s="171" t="s">
        <v>181</v>
      </c>
      <c r="D29" s="172"/>
      <c r="E29" s="166" t="s">
        <v>178</v>
      </c>
      <c r="F29" s="167"/>
      <c r="G29" s="126"/>
      <c r="H29" s="127"/>
    </row>
    <row r="30" spans="2:8" ht="30" customHeight="1" x14ac:dyDescent="0.3">
      <c r="B30" s="123"/>
      <c r="C30" s="171" t="s">
        <v>182</v>
      </c>
      <c r="D30" s="172"/>
      <c r="E30" s="166" t="s">
        <v>179</v>
      </c>
      <c r="F30" s="167"/>
      <c r="G30" s="126"/>
      <c r="H30" s="127"/>
    </row>
    <row r="31" spans="2:8" ht="35.25" customHeight="1" x14ac:dyDescent="0.3">
      <c r="B31" s="123"/>
      <c r="C31" s="171" t="s">
        <v>183</v>
      </c>
      <c r="D31" s="172"/>
      <c r="E31" s="166" t="s">
        <v>184</v>
      </c>
      <c r="F31" s="167"/>
      <c r="G31" s="126"/>
      <c r="H31" s="127"/>
    </row>
    <row r="32" spans="2:8" ht="31.5" customHeight="1" x14ac:dyDescent="0.3">
      <c r="B32" s="123"/>
      <c r="C32" s="171" t="s">
        <v>185</v>
      </c>
      <c r="D32" s="172"/>
      <c r="E32" s="166" t="s">
        <v>186</v>
      </c>
      <c r="F32" s="167"/>
      <c r="G32" s="126"/>
      <c r="H32" s="127"/>
    </row>
    <row r="33" spans="2:8" ht="35.25" customHeight="1" x14ac:dyDescent="0.3">
      <c r="B33" s="123"/>
      <c r="C33" s="171" t="s">
        <v>187</v>
      </c>
      <c r="D33" s="172"/>
      <c r="E33" s="166" t="s">
        <v>188</v>
      </c>
      <c r="F33" s="167"/>
      <c r="G33" s="126"/>
      <c r="H33" s="127"/>
    </row>
    <row r="34" spans="2:8" ht="59.25" customHeight="1" x14ac:dyDescent="0.3">
      <c r="B34" s="123"/>
      <c r="C34" s="171" t="s">
        <v>189</v>
      </c>
      <c r="D34" s="172"/>
      <c r="E34" s="166" t="s">
        <v>190</v>
      </c>
      <c r="F34" s="167"/>
      <c r="G34" s="126"/>
      <c r="H34" s="127"/>
    </row>
    <row r="35" spans="2:8" ht="29.25" customHeight="1" x14ac:dyDescent="0.3">
      <c r="B35" s="123"/>
      <c r="C35" s="171" t="s">
        <v>29</v>
      </c>
      <c r="D35" s="172"/>
      <c r="E35" s="166" t="s">
        <v>191</v>
      </c>
      <c r="F35" s="167"/>
      <c r="G35" s="126"/>
      <c r="H35" s="127"/>
    </row>
    <row r="36" spans="2:8" ht="82.5" customHeight="1" x14ac:dyDescent="0.3">
      <c r="B36" s="123"/>
      <c r="C36" s="171" t="s">
        <v>193</v>
      </c>
      <c r="D36" s="172"/>
      <c r="E36" s="166" t="s">
        <v>192</v>
      </c>
      <c r="F36" s="167"/>
      <c r="G36" s="126"/>
      <c r="H36" s="127"/>
    </row>
    <row r="37" spans="2:8" ht="46.5" customHeight="1" x14ac:dyDescent="0.3">
      <c r="B37" s="123"/>
      <c r="C37" s="171" t="s">
        <v>39</v>
      </c>
      <c r="D37" s="172"/>
      <c r="E37" s="166" t="s">
        <v>194</v>
      </c>
      <c r="F37" s="167"/>
      <c r="G37" s="126"/>
      <c r="H37" s="127"/>
    </row>
    <row r="38" spans="2:8" ht="6.75" customHeight="1" thickBot="1" x14ac:dyDescent="0.35">
      <c r="B38" s="123"/>
      <c r="C38" s="173"/>
      <c r="D38" s="174"/>
      <c r="E38" s="175"/>
      <c r="F38" s="176"/>
      <c r="G38" s="126"/>
      <c r="H38" s="127"/>
    </row>
    <row r="39" spans="2:8" ht="15" thickTop="1" x14ac:dyDescent="0.3">
      <c r="B39" s="123"/>
      <c r="C39" s="124"/>
      <c r="D39" s="124"/>
      <c r="E39" s="125"/>
      <c r="F39" s="125"/>
      <c r="G39" s="126"/>
      <c r="H39" s="127"/>
    </row>
    <row r="40" spans="2:8" ht="21" customHeight="1" x14ac:dyDescent="0.3">
      <c r="B40" s="168" t="s">
        <v>203</v>
      </c>
      <c r="C40" s="169"/>
      <c r="D40" s="169"/>
      <c r="E40" s="169"/>
      <c r="F40" s="169"/>
      <c r="G40" s="169"/>
      <c r="H40" s="170"/>
    </row>
    <row r="41" spans="2:8" ht="20.25" customHeight="1" x14ac:dyDescent="0.3">
      <c r="B41" s="168" t="s">
        <v>204</v>
      </c>
      <c r="C41" s="169"/>
      <c r="D41" s="169"/>
      <c r="E41" s="169"/>
      <c r="F41" s="169"/>
      <c r="G41" s="169"/>
      <c r="H41" s="170"/>
    </row>
    <row r="42" spans="2:8" ht="20.25" customHeight="1" x14ac:dyDescent="0.3">
      <c r="B42" s="168" t="s">
        <v>205</v>
      </c>
      <c r="C42" s="169"/>
      <c r="D42" s="169"/>
      <c r="E42" s="169"/>
      <c r="F42" s="169"/>
      <c r="G42" s="169"/>
      <c r="H42" s="170"/>
    </row>
    <row r="43" spans="2:8" ht="20.25" customHeight="1" x14ac:dyDescent="0.3">
      <c r="B43" s="168" t="s">
        <v>206</v>
      </c>
      <c r="C43" s="169"/>
      <c r="D43" s="169"/>
      <c r="E43" s="169"/>
      <c r="F43" s="169"/>
      <c r="G43" s="169"/>
      <c r="H43" s="170"/>
    </row>
    <row r="44" spans="2:8" x14ac:dyDescent="0.3">
      <c r="B44" s="168" t="s">
        <v>207</v>
      </c>
      <c r="C44" s="169"/>
      <c r="D44" s="169"/>
      <c r="E44" s="169"/>
      <c r="F44" s="169"/>
      <c r="G44" s="169"/>
      <c r="H44" s="170"/>
    </row>
    <row r="45" spans="2:8" ht="15" thickBot="1" x14ac:dyDescent="0.35">
      <c r="B45" s="128"/>
      <c r="C45" s="129"/>
      <c r="D45" s="129"/>
      <c r="E45" s="129"/>
      <c r="F45" s="129"/>
      <c r="G45" s="129"/>
      <c r="H45" s="130"/>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showGridLines="0" showRowColHeaders="0" tabSelected="1" showRuler="0" topLeftCell="N38" zoomScaleNormal="100" workbookViewId="0">
      <selection activeCell="P39" sqref="P39"/>
    </sheetView>
  </sheetViews>
  <sheetFormatPr baseColWidth="10" defaultColWidth="11.44140625" defaultRowHeight="13.8" x14ac:dyDescent="0.25"/>
  <cols>
    <col min="1" max="1" width="4" style="2" bestFit="1" customWidth="1"/>
    <col min="2" max="2" width="14.109375" style="2" customWidth="1"/>
    <col min="3" max="3" width="13.109375" style="2" customWidth="1"/>
    <col min="4" max="4" width="16.109375" style="2" customWidth="1"/>
    <col min="5" max="5" width="32.44140625" style="1" customWidth="1"/>
    <col min="6" max="6" width="19" style="5" customWidth="1"/>
    <col min="7" max="7" width="17.88671875" style="1" customWidth="1"/>
    <col min="8" max="8" width="16.5546875" style="1" customWidth="1"/>
    <col min="9" max="9" width="6.33203125" style="1" bestFit="1" customWidth="1"/>
    <col min="10" max="10" width="27.33203125" style="1" bestFit="1" customWidth="1"/>
    <col min="11" max="11" width="30.5546875" style="1" hidden="1" customWidth="1"/>
    <col min="12" max="12" width="17.5546875" style="1" customWidth="1"/>
    <col min="13" max="13" width="6.33203125" style="1" bestFit="1" customWidth="1"/>
    <col min="14" max="14" width="16" style="1" customWidth="1"/>
    <col min="15" max="15" width="5.88671875" style="1" customWidth="1"/>
    <col min="16" max="16" width="31" style="1" customWidth="1"/>
    <col min="17" max="17" width="15.109375" style="1" bestFit="1" customWidth="1"/>
    <col min="18" max="18" width="6.88671875" style="1" customWidth="1"/>
    <col min="19" max="19" width="5" style="1" customWidth="1"/>
    <col min="20" max="20" width="5.5546875" style="1" customWidth="1"/>
    <col min="21" max="21" width="7.109375" style="1" customWidth="1"/>
    <col min="22" max="22" width="6.6640625" style="1" customWidth="1"/>
    <col min="23" max="23" width="7.5546875" style="1" customWidth="1"/>
    <col min="24" max="24" width="38.33203125" style="1" hidden="1" customWidth="1"/>
    <col min="25" max="25" width="8.6640625" style="1" customWidth="1"/>
    <col min="26" max="26" width="10.44140625" style="1" customWidth="1"/>
    <col min="27" max="27" width="9.33203125" style="1" customWidth="1"/>
    <col min="28" max="28" width="9.109375" style="1" customWidth="1"/>
    <col min="29" max="29" width="8.44140625" style="1" customWidth="1"/>
    <col min="30" max="30" width="7.33203125" style="1" customWidth="1"/>
    <col min="31" max="31" width="23" style="1" customWidth="1"/>
    <col min="32" max="32" width="18.88671875" style="1" customWidth="1"/>
    <col min="33" max="33" width="16.88671875" style="1" customWidth="1"/>
    <col min="34" max="34" width="14.88671875" style="1" customWidth="1"/>
    <col min="35" max="35" width="18.5546875" style="1" customWidth="1"/>
    <col min="36" max="36" width="21" style="1" customWidth="1"/>
    <col min="37" max="16384" width="11.44140625" style="1"/>
  </cols>
  <sheetData>
    <row r="1" spans="1:68" ht="16.5" customHeight="1" x14ac:dyDescent="0.25">
      <c r="A1" s="224" t="s">
        <v>143</v>
      </c>
      <c r="B1" s="225"/>
      <c r="C1" s="225"/>
      <c r="D1" s="225"/>
      <c r="E1" s="225"/>
      <c r="F1" s="225"/>
      <c r="G1" s="225"/>
      <c r="H1" s="225"/>
      <c r="I1" s="225"/>
      <c r="J1" s="225"/>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6"/>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25">
      <c r="A2" s="227"/>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9"/>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25">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25">
      <c r="A4" s="210" t="s">
        <v>43</v>
      </c>
      <c r="B4" s="211"/>
      <c r="C4" s="220" t="s">
        <v>214</v>
      </c>
      <c r="D4" s="221"/>
      <c r="E4" s="221"/>
      <c r="F4" s="221"/>
      <c r="G4" s="221"/>
      <c r="H4" s="221"/>
      <c r="I4" s="221"/>
      <c r="J4" s="221"/>
      <c r="K4" s="221"/>
      <c r="L4" s="221"/>
      <c r="M4" s="221"/>
      <c r="N4" s="222"/>
      <c r="O4" s="223"/>
      <c r="P4" s="223"/>
      <c r="Q4" s="223"/>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25">
      <c r="A5" s="210" t="s">
        <v>129</v>
      </c>
      <c r="B5" s="211"/>
      <c r="C5" s="217" t="s">
        <v>244</v>
      </c>
      <c r="D5" s="218"/>
      <c r="E5" s="218"/>
      <c r="F5" s="218"/>
      <c r="G5" s="218"/>
      <c r="H5" s="218"/>
      <c r="I5" s="218"/>
      <c r="J5" s="218"/>
      <c r="K5" s="218"/>
      <c r="L5" s="218"/>
      <c r="M5" s="218"/>
      <c r="N5" s="219"/>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25">
      <c r="A6" s="210" t="s">
        <v>44</v>
      </c>
      <c r="B6" s="211"/>
      <c r="C6" s="217" t="s">
        <v>215</v>
      </c>
      <c r="D6" s="218"/>
      <c r="E6" s="218"/>
      <c r="F6" s="218"/>
      <c r="G6" s="218"/>
      <c r="H6" s="218"/>
      <c r="I6" s="218"/>
      <c r="J6" s="218"/>
      <c r="K6" s="218"/>
      <c r="L6" s="218"/>
      <c r="M6" s="218"/>
      <c r="N6" s="21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25">
      <c r="A7" s="230" t="s">
        <v>138</v>
      </c>
      <c r="B7" s="231"/>
      <c r="C7" s="231"/>
      <c r="D7" s="231"/>
      <c r="E7" s="231"/>
      <c r="F7" s="231"/>
      <c r="G7" s="232"/>
      <c r="H7" s="230" t="s">
        <v>139</v>
      </c>
      <c r="I7" s="231"/>
      <c r="J7" s="231"/>
      <c r="K7" s="231"/>
      <c r="L7" s="231"/>
      <c r="M7" s="231"/>
      <c r="N7" s="232"/>
      <c r="O7" s="230" t="s">
        <v>140</v>
      </c>
      <c r="P7" s="231"/>
      <c r="Q7" s="231"/>
      <c r="R7" s="231"/>
      <c r="S7" s="231"/>
      <c r="T7" s="231"/>
      <c r="U7" s="231"/>
      <c r="V7" s="231"/>
      <c r="W7" s="232"/>
      <c r="X7" s="230" t="s">
        <v>141</v>
      </c>
      <c r="Y7" s="231"/>
      <c r="Z7" s="231"/>
      <c r="AA7" s="231"/>
      <c r="AB7" s="231"/>
      <c r="AC7" s="231"/>
      <c r="AD7" s="232"/>
      <c r="AE7" s="230" t="s">
        <v>34</v>
      </c>
      <c r="AF7" s="231"/>
      <c r="AG7" s="231"/>
      <c r="AH7" s="231"/>
      <c r="AI7" s="231"/>
      <c r="AJ7" s="232"/>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25">
      <c r="A8" s="212" t="s">
        <v>0</v>
      </c>
      <c r="B8" s="208" t="s">
        <v>2</v>
      </c>
      <c r="C8" s="202" t="s">
        <v>3</v>
      </c>
      <c r="D8" s="202" t="s">
        <v>42</v>
      </c>
      <c r="E8" s="214" t="s">
        <v>1</v>
      </c>
      <c r="F8" s="209" t="s">
        <v>50</v>
      </c>
      <c r="G8" s="202" t="s">
        <v>134</v>
      </c>
      <c r="H8" s="204" t="s">
        <v>33</v>
      </c>
      <c r="I8" s="205" t="s">
        <v>5</v>
      </c>
      <c r="J8" s="209" t="s">
        <v>86</v>
      </c>
      <c r="K8" s="209" t="s">
        <v>91</v>
      </c>
      <c r="L8" s="207" t="s">
        <v>45</v>
      </c>
      <c r="M8" s="205" t="s">
        <v>5</v>
      </c>
      <c r="N8" s="202" t="s">
        <v>48</v>
      </c>
      <c r="O8" s="215" t="s">
        <v>11</v>
      </c>
      <c r="P8" s="203" t="s">
        <v>162</v>
      </c>
      <c r="Q8" s="209" t="s">
        <v>12</v>
      </c>
      <c r="R8" s="203" t="s">
        <v>8</v>
      </c>
      <c r="S8" s="203"/>
      <c r="T8" s="203"/>
      <c r="U8" s="203"/>
      <c r="V8" s="203"/>
      <c r="W8" s="203"/>
      <c r="X8" s="201" t="s">
        <v>137</v>
      </c>
      <c r="Y8" s="201" t="s">
        <v>46</v>
      </c>
      <c r="Z8" s="201" t="s">
        <v>5</v>
      </c>
      <c r="AA8" s="201" t="s">
        <v>47</v>
      </c>
      <c r="AB8" s="201" t="s">
        <v>5</v>
      </c>
      <c r="AC8" s="201" t="s">
        <v>49</v>
      </c>
      <c r="AD8" s="215" t="s">
        <v>29</v>
      </c>
      <c r="AE8" s="203" t="s">
        <v>34</v>
      </c>
      <c r="AF8" s="203" t="s">
        <v>35</v>
      </c>
      <c r="AG8" s="203" t="s">
        <v>36</v>
      </c>
      <c r="AH8" s="203" t="s">
        <v>38</v>
      </c>
      <c r="AI8" s="203" t="s">
        <v>37</v>
      </c>
      <c r="AJ8" s="203"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3">
      <c r="A9" s="213"/>
      <c r="B9" s="208"/>
      <c r="C9" s="203"/>
      <c r="D9" s="203"/>
      <c r="E9" s="208"/>
      <c r="F9" s="202"/>
      <c r="G9" s="203"/>
      <c r="H9" s="202"/>
      <c r="I9" s="206"/>
      <c r="J9" s="202"/>
      <c r="K9" s="202"/>
      <c r="L9" s="206"/>
      <c r="M9" s="206"/>
      <c r="N9" s="203"/>
      <c r="O9" s="216"/>
      <c r="P9" s="203"/>
      <c r="Q9" s="202"/>
      <c r="R9" s="7" t="s">
        <v>13</v>
      </c>
      <c r="S9" s="7" t="s">
        <v>17</v>
      </c>
      <c r="T9" s="7" t="s">
        <v>28</v>
      </c>
      <c r="U9" s="7" t="s">
        <v>18</v>
      </c>
      <c r="V9" s="7" t="s">
        <v>21</v>
      </c>
      <c r="W9" s="7" t="s">
        <v>24</v>
      </c>
      <c r="X9" s="201"/>
      <c r="Y9" s="201"/>
      <c r="Z9" s="201"/>
      <c r="AA9" s="201"/>
      <c r="AB9" s="201"/>
      <c r="AC9" s="201"/>
      <c r="AD9" s="216"/>
      <c r="AE9" s="203"/>
      <c r="AF9" s="203"/>
      <c r="AG9" s="203"/>
      <c r="AH9" s="203"/>
      <c r="AI9" s="203"/>
      <c r="AJ9" s="203"/>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3">
      <c r="A10" s="186">
        <v>1</v>
      </c>
      <c r="B10" s="177" t="s">
        <v>131</v>
      </c>
      <c r="C10" s="177" t="s">
        <v>216</v>
      </c>
      <c r="D10" s="177" t="s">
        <v>258</v>
      </c>
      <c r="E10" s="189" t="s">
        <v>257</v>
      </c>
      <c r="F10" s="177" t="s">
        <v>122</v>
      </c>
      <c r="G10" s="180">
        <v>85</v>
      </c>
      <c r="H10" s="183" t="str">
        <f>IF(G10&lt;=0,"",IF(G10&lt;=2,"Muy Baja",IF(G10&lt;=24,"Baja",IF(G10&lt;=500,"Media",IF(G10&lt;=5000,"Alta","Muy Alta")))))</f>
        <v>Media</v>
      </c>
      <c r="I10" s="195">
        <f>IF(H10="","",IF(H10="Muy Baja",0.2,IF(H10="Baja",0.4,IF(H10="Media",0.6,IF(H10="Alta",0.8,IF(H10="Muy Alta",1,))))))</f>
        <v>0.6</v>
      </c>
      <c r="J10" s="198" t="s">
        <v>153</v>
      </c>
      <c r="K10" s="195"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3" t="str">
        <f>IF(OR(K10='Tabla Impacto'!$C$11,K10='Tabla Impacto'!$D$11),"Leve",IF(OR(K10='Tabla Impacto'!$C$12,K10='Tabla Impacto'!$D$12),"Menor",IF(OR(K10='Tabla Impacto'!$C$13,K10='Tabla Impacto'!$D$13),"Moderado",IF(OR(K10='Tabla Impacto'!$C$14,K10='Tabla Impacto'!$D$14),"Mayor",IF(OR(K10='Tabla Impacto'!$C$15,K10='Tabla Impacto'!$D$15),"Catastrófico","")))))</f>
        <v>Menor</v>
      </c>
      <c r="M10" s="195">
        <f>IF(L10="","",IF(L10="Leve",0.2,IF(L10="Menor",0.4,IF(L10="Moderado",0.6,IF(L10="Mayor",0.8,IF(L10="Catastrófico",1,))))))</f>
        <v>0.4</v>
      </c>
      <c r="N10" s="192"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246</v>
      </c>
      <c r="Q10" s="51" t="str">
        <f>IF(OR(R10="Preventivo",R10="Detectivo"),"Probabilidad",IF(R10="Correctivo","Impacto",""))</f>
        <v>Probabilidad</v>
      </c>
      <c r="R10" s="52" t="s">
        <v>14</v>
      </c>
      <c r="S10" s="52" t="s">
        <v>9</v>
      </c>
      <c r="T10" s="53" t="str">
        <f>IF(AND(R10="Preventivo",S10="Automático"),"50%",IF(AND(R10="Preventivo",S10="Manual"),"40%",IF(AND(R10="Detectivo",S10="Automático"),"40%",IF(AND(R10="Detectivo",S10="Manual"),"30%",IF(AND(R10="Correctivo",S10="Automático"),"35%",IF(AND(R10="Correctivo",S10="Manual"),"25%",""))))))</f>
        <v>40%</v>
      </c>
      <c r="U10" s="52" t="s">
        <v>20</v>
      </c>
      <c r="V10" s="52" t="s">
        <v>22</v>
      </c>
      <c r="W10" s="52" t="s">
        <v>118</v>
      </c>
      <c r="X10" s="24">
        <f>IFERROR(IF(Q10="Probabilidad",(I10-(+I10*T10)),IF(Q10="Impacto",I10,"")),"")</f>
        <v>0.36</v>
      </c>
      <c r="Y10" s="54" t="str">
        <f>IFERROR(IF(X10="","",IF(X10&lt;=0.2,"Muy Baja",IF(X10&lt;=0.4,"Baja",IF(X10&lt;=0.6,"Media",IF(X10&lt;=0.8,"Alta","Muy Alta"))))),"")</f>
        <v>Baja</v>
      </c>
      <c r="Z10" s="55">
        <f>+X10</f>
        <v>0.36</v>
      </c>
      <c r="AA10" s="54" t="str">
        <f>IFERROR(IF(AB10="","",IF(AB10&lt;=0.2,"Leve",IF(AB10&lt;=0.4,"Menor",IF(AB10&lt;=0.6,"Moderado",IF(AB10&lt;=0.8,"Mayor","Catastrófico"))))),"")</f>
        <v>Menor</v>
      </c>
      <c r="AB10" s="55">
        <f>IFERROR(IF(Q10="Impacto",(M10-(+M10*T10)),IF(Q10="Probabilidad",M10,"")),"")</f>
        <v>0.4</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25">
      <c r="A11" s="187"/>
      <c r="B11" s="178"/>
      <c r="C11" s="178"/>
      <c r="D11" s="178"/>
      <c r="E11" s="190"/>
      <c r="F11" s="178"/>
      <c r="G11" s="181"/>
      <c r="H11" s="184"/>
      <c r="I11" s="196"/>
      <c r="J11" s="199"/>
      <c r="K11" s="196">
        <f>IF(NOT(ISERROR(MATCH(J11,_xlfn.ANCHORARRAY(E22),0))),I24&amp;"Por favor no seleccionar los criterios de impacto",J11)</f>
        <v>0</v>
      </c>
      <c r="L11" s="184"/>
      <c r="M11" s="196"/>
      <c r="N11" s="193"/>
      <c r="O11" s="6">
        <v>2</v>
      </c>
      <c r="P11" s="49" t="s">
        <v>247</v>
      </c>
      <c r="Q11" s="51" t="str">
        <f>IF(OR(R11="Preventivo",R11="Detectivo"),"Probabilidad",IF(R11="Correctivo","Impacto",""))</f>
        <v>Probabilidad</v>
      </c>
      <c r="R11" s="52" t="s">
        <v>14</v>
      </c>
      <c r="S11" s="52" t="s">
        <v>9</v>
      </c>
      <c r="T11" s="53" t="str">
        <f t="shared" ref="T11:T15" si="0">IF(AND(R11="Preventivo",S11="Automático"),"50%",IF(AND(R11="Preventivo",S11="Manual"),"40%",IF(AND(R11="Detectivo",S11="Automático"),"40%",IF(AND(R11="Detectivo",S11="Manual"),"30%",IF(AND(R11="Correctivo",S11="Automático"),"35%",IF(AND(R11="Correctivo",S11="Manual"),"25%",""))))))</f>
        <v>40%</v>
      </c>
      <c r="U11" s="52" t="s">
        <v>19</v>
      </c>
      <c r="V11" s="52" t="s">
        <v>22</v>
      </c>
      <c r="W11" s="52" t="s">
        <v>118</v>
      </c>
      <c r="X11" s="24">
        <f>IFERROR(IF(AND(Q10="Probabilidad",Q11="Probabilidad"),(Z10-(+Z10*T11)),IF(Q11="Probabilidad",(I10-(+I10*T11)),IF(Q11="Impacto",Z10,""))),"")</f>
        <v>0.216</v>
      </c>
      <c r="Y11" s="54" t="str">
        <f t="shared" ref="Y11:Y69" si="1">IFERROR(IF(X11="","",IF(X11&lt;=0.2,"Muy Baja",IF(X11&lt;=0.4,"Baja",IF(X11&lt;=0.6,"Media",IF(X11&lt;=0.8,"Alta","Muy Alta"))))),"")</f>
        <v>Baja</v>
      </c>
      <c r="Z11" s="55">
        <f t="shared" ref="Z11:Z15" si="2">+X11</f>
        <v>0.216</v>
      </c>
      <c r="AA11" s="54" t="str">
        <f t="shared" ref="AA11:AA69" si="3">IFERROR(IF(AB11="","",IF(AB11&lt;=0.2,"Leve",IF(AB11&lt;=0.4,"Menor",IF(AB11&lt;=0.6,"Moderado",IF(AB11&lt;=0.8,"Mayor","Catastrófico"))))),"")</f>
        <v>Menor</v>
      </c>
      <c r="AB11" s="55">
        <f>IFERROR(IF(AND(Q10="Impacto",Q11="Impacto"),(AB10-(+AB10*T11)),IF(Q11="Impacto",($M$10-(+$M$10*T11)),IF(Q11="Probabilidad",AB10,""))),"")</f>
        <v>0.4</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25">
      <c r="A12" s="187"/>
      <c r="B12" s="178"/>
      <c r="C12" s="178"/>
      <c r="D12" s="178"/>
      <c r="E12" s="190"/>
      <c r="F12" s="178"/>
      <c r="G12" s="181"/>
      <c r="H12" s="184"/>
      <c r="I12" s="196"/>
      <c r="J12" s="199"/>
      <c r="K12" s="196">
        <f>IF(NOT(ISERROR(MATCH(J12,_xlfn.ANCHORARRAY(E23),0))),I25&amp;"Por favor no seleccionar los criterios de impacto",J12)</f>
        <v>0</v>
      </c>
      <c r="L12" s="184"/>
      <c r="M12" s="196"/>
      <c r="N12" s="193"/>
      <c r="O12" s="6">
        <v>3</v>
      </c>
      <c r="P12" s="137" t="s">
        <v>248</v>
      </c>
      <c r="Q12" s="51" t="str">
        <f>IF(OR(R12="Preventivo",R12="Detectivo"),"Probabilidad",IF(R12="Correctivo","Impacto",""))</f>
        <v>Probabilidad</v>
      </c>
      <c r="R12" s="52" t="s">
        <v>14</v>
      </c>
      <c r="S12" s="52" t="s">
        <v>10</v>
      </c>
      <c r="T12" s="53" t="str">
        <f t="shared" si="0"/>
        <v>50%</v>
      </c>
      <c r="U12" s="52" t="s">
        <v>19</v>
      </c>
      <c r="V12" s="52" t="s">
        <v>22</v>
      </c>
      <c r="W12" s="52" t="s">
        <v>118</v>
      </c>
      <c r="X12" s="24">
        <f>IFERROR(IF(AND(Q11="Probabilidad",Q12="Probabilidad"),(Z11-(+Z11*T12)),IF(AND(Q11="Impacto",Q12="Probabilidad"),(Z10-(+Z10*T12)),IF(Q12="Impacto",Z11,""))),"")</f>
        <v>0.108</v>
      </c>
      <c r="Y12" s="54" t="str">
        <f t="shared" si="1"/>
        <v>Muy Baja</v>
      </c>
      <c r="Z12" s="55">
        <f t="shared" si="2"/>
        <v>0.108</v>
      </c>
      <c r="AA12" s="54" t="str">
        <f t="shared" si="3"/>
        <v>Menor</v>
      </c>
      <c r="AB12" s="55">
        <f>IFERROR(IF(AND(Q11="Impacto",Q12="Impacto"),(AB11-(+AB11*T12)),IF(AND(Q11="Probabilidad",Q12="Impacto"),(AB10-(+AB10*T12)),IF(Q12="Probabilidad",AB11,""))),"")</f>
        <v>0.4</v>
      </c>
      <c r="AC12" s="56" t="str">
        <f t="shared" si="4"/>
        <v>Bajo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25">
      <c r="A13" s="187"/>
      <c r="B13" s="178"/>
      <c r="C13" s="178"/>
      <c r="D13" s="178"/>
      <c r="E13" s="190"/>
      <c r="F13" s="178"/>
      <c r="G13" s="181"/>
      <c r="H13" s="184"/>
      <c r="I13" s="196"/>
      <c r="J13" s="199"/>
      <c r="K13" s="196">
        <f>IF(NOT(ISERROR(MATCH(J13,_xlfn.ANCHORARRAY(E24),0))),I26&amp;"Por favor no seleccionar los criterios de impacto",J13)</f>
        <v>0</v>
      </c>
      <c r="L13" s="184"/>
      <c r="M13" s="196"/>
      <c r="N13" s="193"/>
      <c r="O13" s="6">
        <v>4</v>
      </c>
      <c r="P13" s="49" t="s">
        <v>249</v>
      </c>
      <c r="Q13" s="51" t="str">
        <f t="shared" ref="Q13:Q15" si="5">IF(OR(R13="Preventivo",R13="Detectivo"),"Probabilidad",IF(R13="Correctivo","Impacto",""))</f>
        <v>Probabilidad</v>
      </c>
      <c r="R13" s="52" t="s">
        <v>14</v>
      </c>
      <c r="S13" s="52" t="s">
        <v>9</v>
      </c>
      <c r="T13" s="53" t="str">
        <f t="shared" si="0"/>
        <v>40%</v>
      </c>
      <c r="U13" s="52" t="s">
        <v>19</v>
      </c>
      <c r="V13" s="52" t="s">
        <v>22</v>
      </c>
      <c r="W13" s="52" t="s">
        <v>118</v>
      </c>
      <c r="X13" s="24">
        <f t="shared" ref="X13:X15" si="6">IFERROR(IF(AND(Q12="Probabilidad",Q13="Probabilidad"),(Z12-(+Z12*T13)),IF(AND(Q12="Impacto",Q13="Probabilidad"),(Z11-(+Z11*T13)),IF(Q13="Impacto",Z12,""))),"")</f>
        <v>6.4799999999999996E-2</v>
      </c>
      <c r="Y13" s="54" t="str">
        <f t="shared" si="1"/>
        <v>Muy Baja</v>
      </c>
      <c r="Z13" s="55">
        <f t="shared" si="2"/>
        <v>6.4799999999999996E-2</v>
      </c>
      <c r="AA13" s="54" t="str">
        <f t="shared" si="3"/>
        <v>Menor</v>
      </c>
      <c r="AB13" s="55">
        <f t="shared" ref="AB13:AB15" si="7">IFERROR(IF(AND(Q12="Impacto",Q13="Impacto"),(AB12-(+AB12*T13)),IF(AND(Q12="Probabilidad",Q13="Impacto"),(AB11-(+AB11*T13)),IF(Q13="Probabilidad",AB12,""))),"")</f>
        <v>0.4</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57" t="s">
        <v>31</v>
      </c>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25">
      <c r="A14" s="187"/>
      <c r="B14" s="178"/>
      <c r="C14" s="178"/>
      <c r="D14" s="178"/>
      <c r="E14" s="190"/>
      <c r="F14" s="178"/>
      <c r="G14" s="181"/>
      <c r="H14" s="184"/>
      <c r="I14" s="196"/>
      <c r="J14" s="199"/>
      <c r="K14" s="196">
        <f>IF(NOT(ISERROR(MATCH(J14,_xlfn.ANCHORARRAY(E25),0))),I27&amp;"Por favor no seleccionar los criterios de impacto",J14)</f>
        <v>0</v>
      </c>
      <c r="L14" s="184"/>
      <c r="M14" s="196"/>
      <c r="N14" s="193"/>
      <c r="O14" s="6">
        <v>5</v>
      </c>
      <c r="P14" s="49" t="s">
        <v>250</v>
      </c>
      <c r="Q14" s="51" t="str">
        <f t="shared" si="5"/>
        <v>Probabilidad</v>
      </c>
      <c r="R14" s="52" t="s">
        <v>14</v>
      </c>
      <c r="S14" s="52" t="s">
        <v>9</v>
      </c>
      <c r="T14" s="53" t="str">
        <f t="shared" si="0"/>
        <v>40%</v>
      </c>
      <c r="U14" s="52" t="s">
        <v>19</v>
      </c>
      <c r="V14" s="52" t="s">
        <v>22</v>
      </c>
      <c r="W14" s="52" t="s">
        <v>118</v>
      </c>
      <c r="X14" s="24">
        <f t="shared" si="6"/>
        <v>3.8879999999999998E-2</v>
      </c>
      <c r="Y14" s="54" t="str">
        <f t="shared" si="1"/>
        <v>Muy Baja</v>
      </c>
      <c r="Z14" s="55">
        <f t="shared" si="2"/>
        <v>3.8879999999999998E-2</v>
      </c>
      <c r="AA14" s="54" t="str">
        <f t="shared" si="3"/>
        <v>Menor</v>
      </c>
      <c r="AB14" s="55">
        <f t="shared" si="7"/>
        <v>0.4</v>
      </c>
      <c r="AC14" s="56" t="str">
        <f t="shared" si="4"/>
        <v>Bajo</v>
      </c>
      <c r="AD14" s="57" t="s">
        <v>32</v>
      </c>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25">
      <c r="A15" s="188"/>
      <c r="B15" s="179"/>
      <c r="C15" s="179"/>
      <c r="D15" s="179"/>
      <c r="E15" s="191"/>
      <c r="F15" s="179"/>
      <c r="G15" s="182"/>
      <c r="H15" s="185"/>
      <c r="I15" s="197"/>
      <c r="J15" s="200"/>
      <c r="K15" s="197">
        <f>IF(NOT(ISERROR(MATCH(J15,_xlfn.ANCHORARRAY(E26),0))),I28&amp;"Por favor no seleccionar los criterios de impacto",J15)</f>
        <v>0</v>
      </c>
      <c r="L15" s="185"/>
      <c r="M15" s="197"/>
      <c r="N15" s="194"/>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25">
      <c r="A16" s="186">
        <v>2</v>
      </c>
      <c r="B16" s="177" t="s">
        <v>133</v>
      </c>
      <c r="C16" s="177" t="s">
        <v>217</v>
      </c>
      <c r="D16" s="177" t="s">
        <v>224</v>
      </c>
      <c r="E16" s="177" t="s">
        <v>213</v>
      </c>
      <c r="F16" s="177" t="s">
        <v>122</v>
      </c>
      <c r="G16" s="180">
        <v>85</v>
      </c>
      <c r="H16" s="183" t="str">
        <f>IF(G16&lt;=0,"",IF(G16&lt;=2,"Muy Baja",IF(G16&lt;=24,"Baja",IF(G16&lt;=500,"Media",IF(G16&lt;=5000,"Alta","Muy Alta")))))</f>
        <v>Media</v>
      </c>
      <c r="I16" s="195">
        <f>IF(H16="","",IF(H16="Muy Baja",0.2,IF(H16="Baja",0.4,IF(H16="Media",0.6,IF(H16="Alta",0.8,IF(H16="Muy Alta",1,))))))</f>
        <v>0.6</v>
      </c>
      <c r="J16" s="198" t="s">
        <v>154</v>
      </c>
      <c r="K16" s="195"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3" t="str">
        <f>IF(OR(K16='Tabla Impacto'!$C$11,K16='Tabla Impacto'!$D$11),"Leve",IF(OR(K16='Tabla Impacto'!$C$12,K16='Tabla Impacto'!$D$12),"Menor",IF(OR(K16='Tabla Impacto'!$C$13,K16='Tabla Impacto'!$D$13),"Moderado",IF(OR(K16='Tabla Impacto'!$C$14,K16='Tabla Impacto'!$D$14),"Mayor",IF(OR(K16='Tabla Impacto'!$C$15,K16='Tabla Impacto'!$D$15),"Catastrófico","")))))</f>
        <v>Moderado</v>
      </c>
      <c r="M16" s="195">
        <f>IF(L16="","",IF(L16="Leve",0.2,IF(L16="Menor",0.4,IF(L16="Moderado",0.6,IF(L16="Mayor",0.8,IF(L16="Catastrófico",1,))))))</f>
        <v>0.6</v>
      </c>
      <c r="N16" s="192"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251</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20</v>
      </c>
      <c r="V16" s="52" t="s">
        <v>23</v>
      </c>
      <c r="W16" s="52" t="s">
        <v>118</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25">
      <c r="A17" s="187"/>
      <c r="B17" s="178"/>
      <c r="C17" s="178"/>
      <c r="D17" s="178"/>
      <c r="E17" s="178"/>
      <c r="F17" s="178"/>
      <c r="G17" s="181"/>
      <c r="H17" s="184"/>
      <c r="I17" s="196"/>
      <c r="J17" s="199"/>
      <c r="K17" s="196">
        <f>IF(NOT(ISERROR(MATCH(J17,_xlfn.ANCHORARRAY(E28),0))),I30&amp;"Por favor no seleccionar los criterios de impacto",J17)</f>
        <v>0</v>
      </c>
      <c r="L17" s="184"/>
      <c r="M17" s="196"/>
      <c r="N17" s="193"/>
      <c r="O17" s="6">
        <v>2</v>
      </c>
      <c r="P17" s="49" t="s">
        <v>225</v>
      </c>
      <c r="Q17" s="51" t="str">
        <f>IF(OR(R17="Preventivo",R17="Detectivo"),"Probabilidad",IF(R17="Correctivo","Impacto",""))</f>
        <v>Probabilidad</v>
      </c>
      <c r="R17" s="52" t="s">
        <v>14</v>
      </c>
      <c r="S17" s="52" t="s">
        <v>9</v>
      </c>
      <c r="T17" s="53" t="str">
        <f t="shared" ref="T17:T21" si="8">IF(AND(R17="Preventivo",S17="Automático"),"50%",IF(AND(R17="Preventivo",S17="Manual"),"40%",IF(AND(R17="Detectivo",S17="Automático"),"40%",IF(AND(R17="Detectivo",S17="Manual"),"30%",IF(AND(R17="Correctivo",S17="Automático"),"35%",IF(AND(R17="Correctivo",S17="Manual"),"25%",""))))))</f>
        <v>40%</v>
      </c>
      <c r="U17" s="52" t="s">
        <v>19</v>
      </c>
      <c r="V17" s="52" t="s">
        <v>22</v>
      </c>
      <c r="W17" s="52" t="s">
        <v>118</v>
      </c>
      <c r="X17" s="24">
        <f>IFERROR(IF(AND(Q16="Probabilidad",Q17="Probabilidad"),(Z16-(+Z16*T17)),IF(Q17="Probabilidad",(I16-(+I16*T17)),IF(Q17="Impacto",Z16,""))),"")</f>
        <v>0.216</v>
      </c>
      <c r="Y17" s="54" t="str">
        <f t="shared" si="1"/>
        <v>Baja</v>
      </c>
      <c r="Z17" s="55">
        <f t="shared" ref="Z17:Z21" si="9">+X17</f>
        <v>0.216</v>
      </c>
      <c r="AA17" s="54" t="str">
        <f t="shared" si="3"/>
        <v>Menor</v>
      </c>
      <c r="AB17" s="55">
        <f>IFERROR(IF(AND(Q16="Impacto",Q17="Impacto"),(AB10-(+AB10*T17)),IF(Q17="Impacto",($M$16-(+$M$16*T17)),IF(Q17="Probabilidad",AB10,""))),"")</f>
        <v>0.4</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135</v>
      </c>
      <c r="AE17" s="58" t="s">
        <v>226</v>
      </c>
      <c r="AF17" s="48" t="s">
        <v>220</v>
      </c>
      <c r="AG17" s="59">
        <v>44524</v>
      </c>
      <c r="AH17" s="59">
        <v>44713</v>
      </c>
      <c r="AI17" s="58" t="s">
        <v>237</v>
      </c>
      <c r="AJ17" s="48" t="s">
        <v>40</v>
      </c>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25">
      <c r="A18" s="187"/>
      <c r="B18" s="178"/>
      <c r="C18" s="178"/>
      <c r="D18" s="178"/>
      <c r="E18" s="178"/>
      <c r="F18" s="178"/>
      <c r="G18" s="181"/>
      <c r="H18" s="184"/>
      <c r="I18" s="196"/>
      <c r="J18" s="199"/>
      <c r="K18" s="196">
        <f>IF(NOT(ISERROR(MATCH(J18,_xlfn.ANCHORARRAY(E29),0))),I31&amp;"Por favor no seleccionar los criterios de impacto",J18)</f>
        <v>0</v>
      </c>
      <c r="L18" s="184"/>
      <c r="M18" s="196"/>
      <c r="N18" s="193"/>
      <c r="O18" s="6">
        <v>3</v>
      </c>
      <c r="P18" s="137" t="s">
        <v>252</v>
      </c>
      <c r="Q18" s="51" t="str">
        <f>IF(OR(R18="Preventivo",R18="Detectivo"),"Probabilidad",IF(R18="Correctivo","Impacto",""))</f>
        <v>Probabilidad</v>
      </c>
      <c r="R18" s="52" t="s">
        <v>14</v>
      </c>
      <c r="S18" s="52" t="s">
        <v>9</v>
      </c>
      <c r="T18" s="53" t="str">
        <f t="shared" si="8"/>
        <v>40%</v>
      </c>
      <c r="U18" s="52" t="s">
        <v>19</v>
      </c>
      <c r="V18" s="52" t="s">
        <v>22</v>
      </c>
      <c r="W18" s="52" t="s">
        <v>118</v>
      </c>
      <c r="X18" s="24">
        <f>IFERROR(IF(AND(Q17="Probabilidad",Q18="Probabilidad"),(Z17-(+Z17*T18)),IF(AND(Q17="Impacto",Q18="Probabilidad"),(Z16-(+Z16*T18)),IF(Q18="Impacto",Z17,""))),"")</f>
        <v>0.12959999999999999</v>
      </c>
      <c r="Y18" s="54" t="str">
        <f t="shared" si="1"/>
        <v>Muy Baja</v>
      </c>
      <c r="Z18" s="55">
        <f t="shared" si="9"/>
        <v>0.12959999999999999</v>
      </c>
      <c r="AA18" s="54" t="str">
        <f t="shared" si="3"/>
        <v>Menor</v>
      </c>
      <c r="AB18" s="55">
        <f>IFERROR(IF(AND(Q17="Impacto",Q18="Impacto"),(AB17-(+AB17*T18)),IF(AND(Q17="Probabilidad",Q18="Impacto"),(AB16-(+AB16*T18)),IF(Q18="Probabilidad",AB17,""))),"")</f>
        <v>0.4</v>
      </c>
      <c r="AC18" s="56" t="str">
        <f t="shared" si="10"/>
        <v>Bajo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25">
      <c r="A19" s="187"/>
      <c r="B19" s="178"/>
      <c r="C19" s="178"/>
      <c r="D19" s="178"/>
      <c r="E19" s="178"/>
      <c r="F19" s="178"/>
      <c r="G19" s="181"/>
      <c r="H19" s="184"/>
      <c r="I19" s="196"/>
      <c r="J19" s="199"/>
      <c r="K19" s="196">
        <f>IF(NOT(ISERROR(MATCH(J19,_xlfn.ANCHORARRAY(E30),0))),I32&amp;"Por favor no seleccionar los criterios de impacto",J19)</f>
        <v>0</v>
      </c>
      <c r="L19" s="184"/>
      <c r="M19" s="196"/>
      <c r="N19" s="193"/>
      <c r="O19" s="6">
        <v>4</v>
      </c>
      <c r="P19" s="49" t="s">
        <v>229</v>
      </c>
      <c r="Q19" s="51" t="str">
        <f t="shared" ref="Q19:Q21" si="11">IF(OR(R19="Preventivo",R19="Detectivo"),"Probabilidad",IF(R19="Correctivo","Impacto",""))</f>
        <v>Probabilidad</v>
      </c>
      <c r="R19" s="52" t="s">
        <v>14</v>
      </c>
      <c r="S19" s="52" t="s">
        <v>9</v>
      </c>
      <c r="T19" s="53" t="str">
        <f t="shared" si="8"/>
        <v>40%</v>
      </c>
      <c r="U19" s="52" t="s">
        <v>20</v>
      </c>
      <c r="V19" s="52" t="s">
        <v>22</v>
      </c>
      <c r="W19" s="52" t="s">
        <v>119</v>
      </c>
      <c r="X19" s="24">
        <f t="shared" ref="X19:X21" si="12">IFERROR(IF(AND(Q18="Probabilidad",Q19="Probabilidad"),(Z18-(+Z18*T19)),IF(AND(Q18="Impacto",Q19="Probabilidad"),(Z17-(+Z17*T19)),IF(Q19="Impacto",Z18,""))),"")</f>
        <v>7.7759999999999996E-2</v>
      </c>
      <c r="Y19" s="54" t="str">
        <f t="shared" si="1"/>
        <v>Muy Baja</v>
      </c>
      <c r="Z19" s="55">
        <f t="shared" si="9"/>
        <v>7.7759999999999996E-2</v>
      </c>
      <c r="AA19" s="54" t="str">
        <f t="shared" si="3"/>
        <v>Menor</v>
      </c>
      <c r="AB19" s="55">
        <f t="shared" ref="AB19:AB21" si="13">IFERROR(IF(AND(Q18="Impacto",Q19="Impacto"),(AB18-(+AB18*T19)),IF(AND(Q18="Probabilidad",Q19="Impacto"),(AB17-(+AB17*T19)),IF(Q19="Probabilidad",AB18,""))),"")</f>
        <v>0.4</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Bajo</v>
      </c>
      <c r="AD19" s="57" t="s">
        <v>135</v>
      </c>
      <c r="AE19" s="58" t="s">
        <v>227</v>
      </c>
      <c r="AF19" s="48" t="s">
        <v>228</v>
      </c>
      <c r="AG19" s="59">
        <v>44591</v>
      </c>
      <c r="AH19" s="59">
        <v>44713</v>
      </c>
      <c r="AI19" s="58" t="s">
        <v>238</v>
      </c>
      <c r="AJ19" s="48" t="s">
        <v>40</v>
      </c>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25">
      <c r="A20" s="187"/>
      <c r="B20" s="178"/>
      <c r="C20" s="178"/>
      <c r="D20" s="178"/>
      <c r="E20" s="178"/>
      <c r="F20" s="178"/>
      <c r="G20" s="181"/>
      <c r="H20" s="184"/>
      <c r="I20" s="196"/>
      <c r="J20" s="199"/>
      <c r="K20" s="196">
        <f>IF(NOT(ISERROR(MATCH(J20,_xlfn.ANCHORARRAY(E31),0))),I33&amp;"Por favor no seleccionar los criterios de impacto",J20)</f>
        <v>0</v>
      </c>
      <c r="L20" s="184"/>
      <c r="M20" s="196"/>
      <c r="N20" s="193"/>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25">
      <c r="A21" s="188"/>
      <c r="B21" s="179"/>
      <c r="C21" s="179"/>
      <c r="D21" s="179"/>
      <c r="E21" s="179"/>
      <c r="F21" s="179"/>
      <c r="G21" s="182"/>
      <c r="H21" s="185"/>
      <c r="I21" s="197"/>
      <c r="J21" s="200"/>
      <c r="K21" s="197">
        <f>IF(NOT(ISERROR(MATCH(J21,_xlfn.ANCHORARRAY(E32),0))),I34&amp;"Por favor no seleccionar los criterios de impacto",J21)</f>
        <v>0</v>
      </c>
      <c r="L21" s="185"/>
      <c r="M21" s="197"/>
      <c r="N21" s="194"/>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25">
      <c r="A22" s="186">
        <v>3</v>
      </c>
      <c r="B22" s="177" t="s">
        <v>133</v>
      </c>
      <c r="C22" s="177" t="s">
        <v>231</v>
      </c>
      <c r="D22" s="177" t="s">
        <v>230</v>
      </c>
      <c r="E22" s="189" t="s">
        <v>256</v>
      </c>
      <c r="F22" s="177" t="s">
        <v>122</v>
      </c>
      <c r="G22" s="180">
        <v>85</v>
      </c>
      <c r="H22" s="183" t="str">
        <f>IF(G22&lt;=0,"",IF(G22&lt;=2,"Muy Baja",IF(G22&lt;=24,"Baja",IF(G22&lt;=500,"Media",IF(G22&lt;=5000,"Alta","Muy Alta")))))</f>
        <v>Media</v>
      </c>
      <c r="I22" s="195">
        <f>IF(H22="","",IF(H22="Muy Baja",0.2,IF(H22="Baja",0.4,IF(H22="Media",0.6,IF(H22="Alta",0.8,IF(H22="Muy Alta",1,))))))</f>
        <v>0.6</v>
      </c>
      <c r="J22" s="198" t="s">
        <v>153</v>
      </c>
      <c r="K22" s="195" t="str">
        <f>IF(NOT(ISERROR(MATCH(J22,'Tabla Impacto'!$B$221:$B$223,0))),'Tabla Impacto'!$F$223&amp;"Por favor no seleccionar los criterios de impacto(Afectación Económica o presupuestal y Pérdida Reputacional)",J22)</f>
        <v xml:space="preserve">     El riesgo afecta la imagen de la entidad internamente, de conocimiento general, nivel interno, de junta dircetiva y accionistas y/o de provedores</v>
      </c>
      <c r="L22" s="183" t="str">
        <f>IF(OR(K22='Tabla Impacto'!$C$11,K22='Tabla Impacto'!$D$11),"Leve",IF(OR(K22='Tabla Impacto'!$C$12,K22='Tabla Impacto'!$D$12),"Menor",IF(OR(K22='Tabla Impacto'!$C$13,K22='Tabla Impacto'!$D$13),"Moderado",IF(OR(K22='Tabla Impacto'!$C$14,K22='Tabla Impacto'!$D$14),"Mayor",IF(OR(K22='Tabla Impacto'!$C$15,K22='Tabla Impacto'!$D$15),"Catastrófico","")))))</f>
        <v>Menor</v>
      </c>
      <c r="M22" s="195">
        <f>IF(L22="","",IF(L22="Leve",0.2,IF(L22="Menor",0.4,IF(L22="Moderado",0.6,IF(L22="Mayor",0.8,IF(L22="Catastrófico",1,))))))</f>
        <v>0.4</v>
      </c>
      <c r="N22" s="192"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253</v>
      </c>
      <c r="Q22" s="51" t="str">
        <f>IF(OR(R22="Preventivo",R22="Detectivo"),"Probabilidad",IF(R22="Correctivo","Impacto",""))</f>
        <v>Probabilidad</v>
      </c>
      <c r="R22" s="52" t="s">
        <v>14</v>
      </c>
      <c r="S22" s="52" t="s">
        <v>9</v>
      </c>
      <c r="T22" s="53" t="str">
        <f>IF(AND(R22="Preventivo",S22="Automático"),"50%",IF(AND(R22="Preventivo",S22="Manual"),"40%",IF(AND(R22="Detectivo",S22="Automático"),"40%",IF(AND(R22="Detectivo",S22="Manual"),"30%",IF(AND(R22="Correctivo",S22="Automático"),"35%",IF(AND(R22="Correctivo",S22="Manual"),"25%",""))))))</f>
        <v>40%</v>
      </c>
      <c r="U22" s="52" t="s">
        <v>20</v>
      </c>
      <c r="V22" s="52" t="s">
        <v>22</v>
      </c>
      <c r="W22" s="52" t="s">
        <v>119</v>
      </c>
      <c r="X22" s="24">
        <f>IFERROR(IF(Q22="Probabilidad",(I22-(+I22*T22)),IF(Q22="Impacto",I22,"")),"")</f>
        <v>0.36</v>
      </c>
      <c r="Y22" s="54" t="str">
        <f>IFERROR(IF(X22="","",IF(X22&lt;=0.2,"Muy Baja",IF(X22&lt;=0.4,"Baja",IF(X22&lt;=0.6,"Media",IF(X22&lt;=0.8,"Alta","Muy Alta"))))),"")</f>
        <v>Baja</v>
      </c>
      <c r="Z22" s="55">
        <f>+X22</f>
        <v>0.36</v>
      </c>
      <c r="AA22" s="54" t="str">
        <f>IFERROR(IF(AB22="","",IF(AB22&lt;=0.2,"Leve",IF(AB22&lt;=0.4,"Menor",IF(AB22&lt;=0.6,"Moderado",IF(AB22&lt;=0.8,"Mayor","Catastrófico"))))),"")</f>
        <v>Menor</v>
      </c>
      <c r="AB22" s="55">
        <f>IFERROR(IF(Q22="Impacto",(M22-(+M22*T22)),IF(Q22="Probabilidad",M22,"")),"")</f>
        <v>0.4</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135</v>
      </c>
      <c r="AE22" s="58" t="s">
        <v>219</v>
      </c>
      <c r="AF22" s="48" t="s">
        <v>220</v>
      </c>
      <c r="AG22" s="59" t="s">
        <v>221</v>
      </c>
      <c r="AH22" s="59" t="s">
        <v>221</v>
      </c>
      <c r="AI22" s="58" t="s">
        <v>239</v>
      </c>
      <c r="AJ22" s="48" t="s">
        <v>40</v>
      </c>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25">
      <c r="A23" s="187"/>
      <c r="B23" s="178"/>
      <c r="C23" s="178"/>
      <c r="D23" s="178"/>
      <c r="E23" s="190"/>
      <c r="F23" s="178"/>
      <c r="G23" s="181"/>
      <c r="H23" s="184"/>
      <c r="I23" s="196"/>
      <c r="J23" s="199"/>
      <c r="K23" s="196">
        <f t="shared" ref="K23:K27" si="15">IF(NOT(ISERROR(MATCH(J23,_xlfn.ANCHORARRAY(E34),0))),I36&amp;"Por favor no seleccionar los criterios de impacto",J23)</f>
        <v>0</v>
      </c>
      <c r="L23" s="184"/>
      <c r="M23" s="196"/>
      <c r="N23" s="193"/>
      <c r="O23" s="6">
        <v>2</v>
      </c>
      <c r="P23" s="49" t="s">
        <v>254</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22</v>
      </c>
      <c r="W23" s="52" t="s">
        <v>118</v>
      </c>
      <c r="X23" s="31">
        <f>IFERROR(IF(AND(Q22="Probabilidad",Q23="Probabilidad"),(Z22-(+Z22*T23)),IF(Q23="Probabilidad",(I22-(+I22*T23)),IF(Q23="Impacto",Z22,""))),"")</f>
        <v>0.216</v>
      </c>
      <c r="Y23" s="54" t="str">
        <f t="shared" si="1"/>
        <v>Baja</v>
      </c>
      <c r="Z23" s="55">
        <f t="shared" ref="Z23:Z27" si="17">+X23</f>
        <v>0.216</v>
      </c>
      <c r="AA23" s="54" t="str">
        <f t="shared" si="3"/>
        <v>Moderado</v>
      </c>
      <c r="AB23" s="55">
        <f>IFERROR(IF(AND(Q22="Impacto",Q23="Impacto"),(AB16-(+AB16*T23)),IF(Q23="Impacto",($M$22-(+$M$22*T23)),IF(Q23="Probabilidad",AB16,""))),"")</f>
        <v>0.6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25">
      <c r="A24" s="187"/>
      <c r="B24" s="178"/>
      <c r="C24" s="178"/>
      <c r="D24" s="178"/>
      <c r="E24" s="190"/>
      <c r="F24" s="178"/>
      <c r="G24" s="181"/>
      <c r="H24" s="184"/>
      <c r="I24" s="196"/>
      <c r="J24" s="199"/>
      <c r="K24" s="196">
        <f t="shared" si="15"/>
        <v>0</v>
      </c>
      <c r="L24" s="184"/>
      <c r="M24" s="196"/>
      <c r="N24" s="193"/>
      <c r="O24" s="6">
        <v>3</v>
      </c>
      <c r="P24" s="50" t="s">
        <v>259</v>
      </c>
      <c r="Q24" s="51" t="str">
        <f>IF(OR(R24="Preventivo",R24="Detectivo"),"Probabilidad",IF(R24="Correctivo","Impacto",""))</f>
        <v>Probabilidad</v>
      </c>
      <c r="R24" s="52" t="s">
        <v>15</v>
      </c>
      <c r="S24" s="52" t="s">
        <v>9</v>
      </c>
      <c r="T24" s="53" t="str">
        <f t="shared" si="16"/>
        <v>30%</v>
      </c>
      <c r="U24" s="52" t="s">
        <v>19</v>
      </c>
      <c r="V24" s="52" t="s">
        <v>22</v>
      </c>
      <c r="W24" s="52" t="s">
        <v>118</v>
      </c>
      <c r="X24" s="24">
        <f>IFERROR(IF(AND(Q23="Probabilidad",Q24="Probabilidad"),(Z23-(+Z23*T24)),IF(AND(Q23="Impacto",Q24="Probabilidad"),(Z22-(+Z22*T24)),IF(Q24="Impacto",Z23,""))),"")</f>
        <v>0.1512</v>
      </c>
      <c r="Y24" s="54" t="str">
        <f t="shared" si="1"/>
        <v>Muy Baja</v>
      </c>
      <c r="Z24" s="55">
        <f t="shared" si="17"/>
        <v>0.1512</v>
      </c>
      <c r="AA24" s="54" t="str">
        <f t="shared" si="3"/>
        <v>Moderado</v>
      </c>
      <c r="AB24" s="55">
        <f>IFERROR(IF(AND(Q23="Impacto",Q24="Impacto"),(AB23-(+AB23*T24)),IF(AND(Q23="Probabilidad",Q24="Impacto"),(AB22-(+AB22*T24)),IF(Q24="Probabilidad",AB23,""))),"")</f>
        <v>0.6</v>
      </c>
      <c r="AC24" s="56" t="str">
        <f t="shared" si="18"/>
        <v>Moderado</v>
      </c>
      <c r="AD24" s="57" t="s">
        <v>135</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25">
      <c r="A25" s="187"/>
      <c r="B25" s="178"/>
      <c r="C25" s="178"/>
      <c r="D25" s="178"/>
      <c r="E25" s="190"/>
      <c r="F25" s="178"/>
      <c r="G25" s="181"/>
      <c r="H25" s="184"/>
      <c r="I25" s="196"/>
      <c r="J25" s="199"/>
      <c r="K25" s="196">
        <f t="shared" si="15"/>
        <v>0</v>
      </c>
      <c r="L25" s="184"/>
      <c r="M25" s="196"/>
      <c r="N25" s="193"/>
      <c r="O25" s="6">
        <v>4</v>
      </c>
      <c r="P25" s="49" t="s">
        <v>260</v>
      </c>
      <c r="Q25" s="51" t="str">
        <f t="shared" ref="Q25:Q27" si="19">IF(OR(R25="Preventivo",R25="Detectivo"),"Probabilidad",IF(R25="Correctivo","Impacto",""))</f>
        <v>Probabilidad</v>
      </c>
      <c r="R25" s="52" t="s">
        <v>14</v>
      </c>
      <c r="S25" s="52" t="s">
        <v>9</v>
      </c>
      <c r="T25" s="53" t="str">
        <f t="shared" si="16"/>
        <v>40%</v>
      </c>
      <c r="U25" s="52" t="s">
        <v>19</v>
      </c>
      <c r="V25" s="52" t="s">
        <v>22</v>
      </c>
      <c r="W25" s="52" t="s">
        <v>118</v>
      </c>
      <c r="X25" s="24">
        <f t="shared" ref="X25:X27" si="20">IFERROR(IF(AND(Q24="Probabilidad",Q25="Probabilidad"),(Z24-(+Z24*T25)),IF(AND(Q24="Impacto",Q25="Probabilidad"),(Z23-(+Z23*T25)),IF(Q25="Impacto",Z24,""))),"")</f>
        <v>9.0719999999999995E-2</v>
      </c>
      <c r="Y25" s="54" t="str">
        <f t="shared" si="1"/>
        <v>Muy Baja</v>
      </c>
      <c r="Z25" s="55">
        <f t="shared" si="17"/>
        <v>9.0719999999999995E-2</v>
      </c>
      <c r="AA25" s="54" t="str">
        <f t="shared" si="3"/>
        <v>Moderado</v>
      </c>
      <c r="AB25" s="55">
        <f t="shared" ref="AB25:AB27" si="21">IFERROR(IF(AND(Q24="Impacto",Q25="Impacto"),(AB24-(+AB24*T25)),IF(AND(Q24="Probabilidad",Q25="Impacto"),(AB23-(+AB23*T25)),IF(Q25="Probabilidad",AB24,""))),"")</f>
        <v>0.6</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Moderado</v>
      </c>
      <c r="AD25" s="57" t="s">
        <v>135</v>
      </c>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25">
      <c r="A26" s="187"/>
      <c r="B26" s="178"/>
      <c r="C26" s="178"/>
      <c r="D26" s="178"/>
      <c r="E26" s="190"/>
      <c r="F26" s="178"/>
      <c r="G26" s="181"/>
      <c r="H26" s="184"/>
      <c r="I26" s="196"/>
      <c r="J26" s="199"/>
      <c r="K26" s="196">
        <f t="shared" si="15"/>
        <v>0</v>
      </c>
      <c r="L26" s="184"/>
      <c r="M26" s="196"/>
      <c r="N26" s="193"/>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25">
      <c r="A27" s="188"/>
      <c r="B27" s="179"/>
      <c r="C27" s="179"/>
      <c r="D27" s="179"/>
      <c r="E27" s="191"/>
      <c r="F27" s="179"/>
      <c r="G27" s="182"/>
      <c r="H27" s="185"/>
      <c r="I27" s="197"/>
      <c r="J27" s="200"/>
      <c r="K27" s="197">
        <f t="shared" si="15"/>
        <v>0</v>
      </c>
      <c r="L27" s="185"/>
      <c r="M27" s="197"/>
      <c r="N27" s="194"/>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25">
      <c r="A28" s="186">
        <v>4</v>
      </c>
      <c r="B28" s="177" t="s">
        <v>133</v>
      </c>
      <c r="C28" s="177" t="s">
        <v>232</v>
      </c>
      <c r="D28" s="177" t="s">
        <v>218</v>
      </c>
      <c r="E28" s="189" t="s">
        <v>242</v>
      </c>
      <c r="F28" s="177" t="s">
        <v>122</v>
      </c>
      <c r="G28" s="180">
        <f>(4*12)+12</f>
        <v>60</v>
      </c>
      <c r="H28" s="183" t="str">
        <f>IF(G28&lt;=0,"",IF(G28&lt;=2,"Muy Baja",IF(G28&lt;=24,"Baja",IF(G28&lt;=500,"Media",IF(G28&lt;=5000,"Alta","Muy Alta")))))</f>
        <v>Media</v>
      </c>
      <c r="I28" s="195">
        <f>IF(H28="","",IF(H28="Muy Baja",0.2,IF(H28="Baja",0.4,IF(H28="Media",0.6,IF(H28="Alta",0.8,IF(H28="Muy Alta",1,))))))</f>
        <v>0.6</v>
      </c>
      <c r="J28" s="198" t="s">
        <v>148</v>
      </c>
      <c r="K28" s="195" t="str">
        <f>IF(NOT(ISERROR(MATCH(J28,'Tabla Impacto'!$B$221:$B$223,0))),'Tabla Impacto'!$F$223&amp;"Por favor no seleccionar los criterios de impacto(Afectación Económica o presupuestal y Pérdida Reputacional)",J28)</f>
        <v xml:space="preserve">     Entre 50 y 100 SMLMV </v>
      </c>
      <c r="L28" s="183" t="str">
        <f>IF(OR(K28='Tabla Impacto'!$C$11,K28='Tabla Impacto'!$D$11),"Leve",IF(OR(K28='Tabla Impacto'!$C$12,K28='Tabla Impacto'!$D$12),"Menor",IF(OR(K28='Tabla Impacto'!$C$13,K28='Tabla Impacto'!$D$13),"Moderado",IF(OR(K28='Tabla Impacto'!$C$14,K28='Tabla Impacto'!$D$14),"Mayor",IF(OR(K28='Tabla Impacto'!$C$15,K28='Tabla Impacto'!$D$15),"Catastrófico","")))))</f>
        <v>Moderado</v>
      </c>
      <c r="M28" s="195">
        <f>IF(L28="","",IF(L28="Leve",0.2,IF(L28="Menor",0.4,IF(L28="Moderado",0.6,IF(L28="Mayor",0.8,IF(L28="Catastrófico",1,))))))</f>
        <v>0.6</v>
      </c>
      <c r="N28" s="192"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261</v>
      </c>
      <c r="Q28" s="51" t="str">
        <f>IF(OR(R28="Preventivo",R28="Detectivo"),"Probabilidad",IF(R28="Correctivo","Impacto",""))</f>
        <v>Probabilidad</v>
      </c>
      <c r="R28" s="52" t="s">
        <v>14</v>
      </c>
      <c r="S28" s="52" t="s">
        <v>9</v>
      </c>
      <c r="T28" s="53" t="str">
        <f>IF(AND(R28="Preventivo",S28="Automático"),"50%",IF(AND(R28="Preventivo",S28="Manual"),"40%",IF(AND(R28="Detectivo",S28="Automático"),"40%",IF(AND(R28="Detectivo",S28="Manual"),"30%",IF(AND(R28="Correctivo",S28="Automático"),"35%",IF(AND(R28="Correctivo",S28="Manual"),"25%",""))))))</f>
        <v>40%</v>
      </c>
      <c r="U28" s="52" t="s">
        <v>19</v>
      </c>
      <c r="V28" s="52" t="s">
        <v>22</v>
      </c>
      <c r="W28" s="52" t="s">
        <v>118</v>
      </c>
      <c r="X28" s="24">
        <f>IFERROR(IF(Q28="Probabilidad",(I28-(+I28*T28)),IF(Q28="Impacto",I28,"")),"")</f>
        <v>0.36</v>
      </c>
      <c r="Y28" s="54" t="str">
        <f>IFERROR(IF(X28="","",IF(X28&lt;=0.2,"Muy Baja",IF(X28&lt;=0.4,"Baja",IF(X28&lt;=0.6,"Media",IF(X28&lt;=0.8,"Alta","Muy Alta"))))),"")</f>
        <v>Baja</v>
      </c>
      <c r="Z28" s="55">
        <f>+X28</f>
        <v>0.36</v>
      </c>
      <c r="AA28" s="54" t="str">
        <f>IFERROR(IF(AB28="","",IF(AB28&lt;=0.2,"Leve",IF(AB28&lt;=0.4,"Menor",IF(AB28&lt;=0.6,"Moderado",IF(AB28&lt;=0.8,"Mayor","Catastrófico"))))),"")</f>
        <v>Moderado</v>
      </c>
      <c r="AB28" s="55">
        <f>IFERROR(IF(Q28="Impacto",(M28-(+M28*T28)),IF(Q28="Probabilidad",M28,"")),"")</f>
        <v>0.6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25">
      <c r="A29" s="187"/>
      <c r="B29" s="178"/>
      <c r="C29" s="178"/>
      <c r="D29" s="178"/>
      <c r="E29" s="190"/>
      <c r="F29" s="178"/>
      <c r="G29" s="181"/>
      <c r="H29" s="184"/>
      <c r="I29" s="196"/>
      <c r="J29" s="199"/>
      <c r="K29" s="196">
        <f t="shared" ref="K29:K33" si="23">IF(NOT(ISERROR(MATCH(J29,_xlfn.ANCHORARRAY(E40),0))),I42&amp;"Por favor no seleccionar los criterios de impacto",J29)</f>
        <v>0</v>
      </c>
      <c r="L29" s="184"/>
      <c r="M29" s="196"/>
      <c r="N29" s="193"/>
      <c r="O29" s="6">
        <v>2</v>
      </c>
      <c r="P29" s="49" t="s">
        <v>255</v>
      </c>
      <c r="Q29" s="51" t="str">
        <f>IF(OR(R29="Preventivo",R29="Detectivo"),"Probabilidad",IF(R29="Correctivo","Impacto",""))</f>
        <v>Probabilidad</v>
      </c>
      <c r="R29" s="52" t="s">
        <v>14</v>
      </c>
      <c r="S29" s="52" t="s">
        <v>9</v>
      </c>
      <c r="T29" s="53" t="str">
        <f t="shared" ref="T29:T33" si="24">IF(AND(R29="Preventivo",S29="Automático"),"50%",IF(AND(R29="Preventivo",S29="Manual"),"40%",IF(AND(R29="Detectivo",S29="Automático"),"40%",IF(AND(R29="Detectivo",S29="Manual"),"30%",IF(AND(R29="Correctivo",S29="Automático"),"35%",IF(AND(R29="Correctivo",S29="Manual"),"25%",""))))))</f>
        <v>40%</v>
      </c>
      <c r="U29" s="52" t="s">
        <v>19</v>
      </c>
      <c r="V29" s="52" t="s">
        <v>22</v>
      </c>
      <c r="W29" s="52" t="s">
        <v>118</v>
      </c>
      <c r="X29" s="24">
        <f>IFERROR(IF(AND(Q28="Probabilidad",Q29="Probabilidad"),(Z28-(+Z28*T29)),IF(Q29="Probabilidad",(I28-(+I28*T29)),IF(Q29="Impacto",Z28,""))),"")</f>
        <v>0.216</v>
      </c>
      <c r="Y29" s="54" t="str">
        <f t="shared" si="1"/>
        <v>Baja</v>
      </c>
      <c r="Z29" s="55">
        <f t="shared" ref="Z29:Z33" si="25">+X29</f>
        <v>0.216</v>
      </c>
      <c r="AA29" s="54" t="str">
        <f t="shared" si="3"/>
        <v>Menor</v>
      </c>
      <c r="AB29" s="55">
        <f>IFERROR(IF(AND(Q28="Impacto",Q29="Impacto"),(AB22-(+AB22*T29)),IF(Q29="Impacto",($M$28-(+$M$28*T29)),IF(Q29="Probabilidad",AB22,""))),"")</f>
        <v>0.4</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25">
      <c r="A30" s="187"/>
      <c r="B30" s="178"/>
      <c r="C30" s="178"/>
      <c r="D30" s="178"/>
      <c r="E30" s="190"/>
      <c r="F30" s="178"/>
      <c r="G30" s="181"/>
      <c r="H30" s="184"/>
      <c r="I30" s="196"/>
      <c r="J30" s="199"/>
      <c r="K30" s="196">
        <f t="shared" si="23"/>
        <v>0</v>
      </c>
      <c r="L30" s="184"/>
      <c r="M30" s="196"/>
      <c r="N30" s="193"/>
      <c r="O30" s="6">
        <v>3</v>
      </c>
      <c r="P30" s="50" t="s">
        <v>222</v>
      </c>
      <c r="Q30" s="51" t="str">
        <f>IF(OR(R30="Preventivo",R30="Detectivo"),"Probabilidad",IF(R30="Correctivo","Impacto",""))</f>
        <v>Probabilidad</v>
      </c>
      <c r="R30" s="52" t="s">
        <v>14</v>
      </c>
      <c r="S30" s="52" t="s">
        <v>9</v>
      </c>
      <c r="T30" s="53" t="str">
        <f t="shared" si="24"/>
        <v>40%</v>
      </c>
      <c r="U30" s="52" t="s">
        <v>19</v>
      </c>
      <c r="V30" s="52" t="s">
        <v>22</v>
      </c>
      <c r="W30" s="52" t="s">
        <v>118</v>
      </c>
      <c r="X30" s="24">
        <f>IFERROR(IF(AND(Q29="Probabilidad",Q30="Probabilidad"),(Z29-(+Z29*T30)),IF(AND(Q29="Impacto",Q30="Probabilidad"),(Z28-(+Z28*T30)),IF(Q30="Impacto",Z29,""))),"")</f>
        <v>0.12959999999999999</v>
      </c>
      <c r="Y30" s="54" t="str">
        <f t="shared" si="1"/>
        <v>Muy Baja</v>
      </c>
      <c r="Z30" s="55">
        <f t="shared" si="25"/>
        <v>0.12959999999999999</v>
      </c>
      <c r="AA30" s="54" t="str">
        <f t="shared" si="3"/>
        <v>Menor</v>
      </c>
      <c r="AB30" s="55">
        <f>IFERROR(IF(AND(Q29="Impacto",Q30="Impacto"),(AB29-(+AB29*T30)),IF(AND(Q29="Probabilidad",Q30="Impacto"),(AB28-(+AB28*T30)),IF(Q30="Probabilidad",AB29,""))),"")</f>
        <v>0.4</v>
      </c>
      <c r="AC30" s="56" t="str">
        <f t="shared" si="26"/>
        <v>Bajo</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25">
      <c r="A31" s="187"/>
      <c r="B31" s="178"/>
      <c r="C31" s="178"/>
      <c r="D31" s="178"/>
      <c r="E31" s="190"/>
      <c r="F31" s="178"/>
      <c r="G31" s="181"/>
      <c r="H31" s="184"/>
      <c r="I31" s="196"/>
      <c r="J31" s="199"/>
      <c r="K31" s="196">
        <f t="shared" si="23"/>
        <v>0</v>
      </c>
      <c r="L31" s="184"/>
      <c r="M31" s="196"/>
      <c r="N31" s="193"/>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25">
      <c r="A32" s="187"/>
      <c r="B32" s="178"/>
      <c r="C32" s="178"/>
      <c r="D32" s="178"/>
      <c r="E32" s="190"/>
      <c r="F32" s="178"/>
      <c r="G32" s="181"/>
      <c r="H32" s="184"/>
      <c r="I32" s="196"/>
      <c r="J32" s="199"/>
      <c r="K32" s="196">
        <f t="shared" si="23"/>
        <v>0</v>
      </c>
      <c r="L32" s="184"/>
      <c r="M32" s="196"/>
      <c r="N32" s="193"/>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25">
      <c r="A33" s="188"/>
      <c r="B33" s="179"/>
      <c r="C33" s="179"/>
      <c r="D33" s="179"/>
      <c r="E33" s="191"/>
      <c r="F33" s="179"/>
      <c r="G33" s="182"/>
      <c r="H33" s="185"/>
      <c r="I33" s="197"/>
      <c r="J33" s="200"/>
      <c r="K33" s="197">
        <f t="shared" si="23"/>
        <v>0</v>
      </c>
      <c r="L33" s="185"/>
      <c r="M33" s="197"/>
      <c r="N33" s="194"/>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25">
      <c r="A34" s="186">
        <v>5</v>
      </c>
      <c r="B34" s="177" t="s">
        <v>133</v>
      </c>
      <c r="C34" s="177" t="s">
        <v>240</v>
      </c>
      <c r="D34" s="177" t="s">
        <v>245</v>
      </c>
      <c r="E34" s="189" t="s">
        <v>233</v>
      </c>
      <c r="F34" s="177" t="s">
        <v>122</v>
      </c>
      <c r="G34" s="180">
        <v>85</v>
      </c>
      <c r="H34" s="183" t="str">
        <f>IF(G34&lt;=0,"",IF(G34&lt;=2,"Muy Baja",IF(G34&lt;=24,"Baja",IF(G34&lt;=500,"Media",IF(G34&lt;=5000,"Alta","Muy Alta")))))</f>
        <v>Media</v>
      </c>
      <c r="I34" s="195">
        <f>IF(H34="","",IF(H34="Muy Baja",0.2,IF(H34="Baja",0.4,IF(H34="Media",0.6,IF(H34="Alta",0.8,IF(H34="Muy Alta",1,))))))</f>
        <v>0.6</v>
      </c>
      <c r="J34" s="198" t="s">
        <v>154</v>
      </c>
      <c r="K34" s="195" t="str">
        <f>IF(NOT(ISERROR(MATCH(J34,'Tabla Impacto'!$B$221:$B$223,0))),'Tabla Impacto'!$F$223&amp;"Por favor no seleccionar los criterios de impacto(Afectación Económica o presupuestal y Pérdida Reputacional)",J34)</f>
        <v xml:space="preserve">     El riesgo afecta la imagen de la entidad con algunos usuarios de relevancia frente al logro de los objetivos</v>
      </c>
      <c r="L34" s="183" t="str">
        <f>IF(OR(K34='Tabla Impacto'!$C$11,K34='Tabla Impacto'!$D$11),"Leve",IF(OR(K34='Tabla Impacto'!$C$12,K34='Tabla Impacto'!$D$12),"Menor",IF(OR(K34='Tabla Impacto'!$C$13,K34='Tabla Impacto'!$D$13),"Moderado",IF(OR(K34='Tabla Impacto'!$C$14,K34='Tabla Impacto'!$D$14),"Mayor",IF(OR(K34='Tabla Impacto'!$C$15,K34='Tabla Impacto'!$D$15),"Catastrófico","")))))</f>
        <v>Moderado</v>
      </c>
      <c r="M34" s="195">
        <f>IF(L34="","",IF(L34="Leve",0.2,IF(L34="Menor",0.4,IF(L34="Moderado",0.6,IF(L34="Mayor",0.8,IF(L34="Catastrófico",1,))))))</f>
        <v>0.6</v>
      </c>
      <c r="N34" s="192"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49" t="s">
        <v>243</v>
      </c>
      <c r="Q34" s="51" t="str">
        <f>IF(OR(R34="Preventivo",R34="Detectivo"),"Probabilidad",IF(R34="Correctivo","Impacto",""))</f>
        <v>Probabilidad</v>
      </c>
      <c r="R34" s="52" t="s">
        <v>14</v>
      </c>
      <c r="S34" s="52" t="s">
        <v>9</v>
      </c>
      <c r="T34" s="53" t="str">
        <f>IF(AND(R34="Preventivo",S34="Automático"),"50%",IF(AND(R34="Preventivo",S34="Manual"),"40%",IF(AND(R34="Detectivo",S34="Automático"),"40%",IF(AND(R34="Detectivo",S34="Manual"),"30%",IF(AND(R34="Correctivo",S34="Automático"),"35%",IF(AND(R34="Correctivo",S34="Manual"),"25%",""))))))</f>
        <v>40%</v>
      </c>
      <c r="U34" s="52" t="s">
        <v>19</v>
      </c>
      <c r="V34" s="52" t="s">
        <v>22</v>
      </c>
      <c r="W34" s="52" t="s">
        <v>118</v>
      </c>
      <c r="X34" s="24">
        <f>IFERROR(IF(Q34="Probabilidad",(I34-(+I34*T34)),IF(Q34="Impacto",I34,"")),"")</f>
        <v>0.36</v>
      </c>
      <c r="Y34" s="54" t="str">
        <f>IFERROR(IF(X34="","",IF(X34&lt;=0.2,"Muy Baja",IF(X34&lt;=0.4,"Baja",IF(X34&lt;=0.6,"Media",IF(X34&lt;=0.8,"Alta","Muy Alta"))))),"")</f>
        <v>Baja</v>
      </c>
      <c r="Z34" s="55">
        <f>+X34</f>
        <v>0.36</v>
      </c>
      <c r="AA34" s="54" t="str">
        <f>IFERROR(IF(AB34="","",IF(AB34&lt;=0.2,"Leve",IF(AB34&lt;=0.4,"Menor",IF(AB34&lt;=0.6,"Moderado",IF(AB34&lt;=0.8,"Mayor","Catastrófico"))))),"")</f>
        <v>Moderado</v>
      </c>
      <c r="AB34" s="55">
        <f>IFERROR(IF(Q34="Impacto",(M34-(+M34*T34)),IF(Q34="Probabilidad",M34,"")),"")</f>
        <v>0.6</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57" t="s">
        <v>31</v>
      </c>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25">
      <c r="A35" s="187"/>
      <c r="B35" s="178"/>
      <c r="C35" s="178"/>
      <c r="D35" s="178"/>
      <c r="E35" s="190"/>
      <c r="F35" s="178"/>
      <c r="G35" s="181"/>
      <c r="H35" s="184"/>
      <c r="I35" s="196"/>
      <c r="J35" s="199"/>
      <c r="K35" s="196">
        <f t="shared" ref="K35:K39" si="31">IF(NOT(ISERROR(MATCH(J35,_xlfn.ANCHORARRAY(E46),0))),I48&amp;"Por favor no seleccionar los criterios de impacto",J35)</f>
        <v>0</v>
      </c>
      <c r="L35" s="184"/>
      <c r="M35" s="196"/>
      <c r="N35" s="193"/>
      <c r="O35" s="6">
        <v>2</v>
      </c>
      <c r="P35" s="49" t="s">
        <v>262</v>
      </c>
      <c r="Q35" s="51" t="str">
        <f>IF(OR(R35="Preventivo",R35="Detectivo"),"Probabilidad",IF(R35="Correctivo","Impacto",""))</f>
        <v>Probabilidad</v>
      </c>
      <c r="R35" s="52" t="s">
        <v>14</v>
      </c>
      <c r="S35" s="52" t="s">
        <v>9</v>
      </c>
      <c r="T35" s="53" t="str">
        <f t="shared" ref="T35:T39" si="32">IF(AND(R35="Preventivo",S35="Automático"),"50%",IF(AND(R35="Preventivo",S35="Manual"),"40%",IF(AND(R35="Detectivo",S35="Automático"),"40%",IF(AND(R35="Detectivo",S35="Manual"),"30%",IF(AND(R35="Correctivo",S35="Automático"),"35%",IF(AND(R35="Correctivo",S35="Manual"),"25%",""))))))</f>
        <v>40%</v>
      </c>
      <c r="U35" s="52" t="s">
        <v>19</v>
      </c>
      <c r="V35" s="52" t="s">
        <v>22</v>
      </c>
      <c r="W35" s="52" t="s">
        <v>118</v>
      </c>
      <c r="X35" s="24">
        <f>IFERROR(IF(AND(Q34="Probabilidad",Q35="Probabilidad"),(Z34-(+Z34*T35)),IF(Q35="Probabilidad",(I34-(+I34*T35)),IF(Q35="Impacto",Z34,""))),"")</f>
        <v>0.216</v>
      </c>
      <c r="Y35" s="54" t="str">
        <f t="shared" si="1"/>
        <v>Baja</v>
      </c>
      <c r="Z35" s="55">
        <f t="shared" ref="Z35:Z39" si="33">+X35</f>
        <v>0.216</v>
      </c>
      <c r="AA35" s="54" t="str">
        <f t="shared" si="3"/>
        <v>Moderado</v>
      </c>
      <c r="AB35" s="55">
        <f>IFERROR(IF(AND(Q34="Impacto",Q35="Impacto"),(AB28-(+AB28*T35)),IF(Q35="Impacto",($M$34-(+$M$34*T35)),IF(Q35="Probabilidad",AB28,""))),"")</f>
        <v>0.6</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Moderado</v>
      </c>
      <c r="AD35" s="57" t="s">
        <v>31</v>
      </c>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25">
      <c r="A36" s="187"/>
      <c r="B36" s="178"/>
      <c r="C36" s="178"/>
      <c r="D36" s="178"/>
      <c r="E36" s="190"/>
      <c r="F36" s="178"/>
      <c r="G36" s="181"/>
      <c r="H36" s="184"/>
      <c r="I36" s="196"/>
      <c r="J36" s="199"/>
      <c r="K36" s="196">
        <f t="shared" si="31"/>
        <v>0</v>
      </c>
      <c r="L36" s="184"/>
      <c r="M36" s="196"/>
      <c r="N36" s="193"/>
      <c r="O36" s="6">
        <v>3</v>
      </c>
      <c r="P36" s="50" t="s">
        <v>263</v>
      </c>
      <c r="Q36" s="51" t="str">
        <f>IF(OR(R36="Preventivo",R36="Detectivo"),"Probabilidad",IF(R36="Correctivo","Impacto",""))</f>
        <v>Impacto</v>
      </c>
      <c r="R36" s="52" t="s">
        <v>16</v>
      </c>
      <c r="S36" s="52" t="s">
        <v>9</v>
      </c>
      <c r="T36" s="53" t="str">
        <f t="shared" si="32"/>
        <v>25%</v>
      </c>
      <c r="U36" s="52" t="s">
        <v>19</v>
      </c>
      <c r="V36" s="52" t="s">
        <v>23</v>
      </c>
      <c r="W36" s="52" t="s">
        <v>118</v>
      </c>
      <c r="X36" s="24">
        <f>IFERROR(IF(AND(Q35="Probabilidad",Q36="Probabilidad"),(Z35-(+Z35*T36)),IF(AND(Q35="Impacto",Q36="Probabilidad"),(Z34-(+Z34*T36)),IF(Q36="Impacto",Z35,""))),"")</f>
        <v>0.216</v>
      </c>
      <c r="Y36" s="54" t="str">
        <f t="shared" si="1"/>
        <v>Baja</v>
      </c>
      <c r="Z36" s="55">
        <f t="shared" si="33"/>
        <v>0.216</v>
      </c>
      <c r="AA36" s="54" t="str">
        <f t="shared" si="3"/>
        <v>Moderado</v>
      </c>
      <c r="AB36" s="55">
        <f>IFERROR(IF(AND(Q35="Impacto",Q36="Impacto"),(AB35-(+AB35*T36)),IF(AND(Q35="Probabilidad",Q36="Impacto"),(AB34-(+AB34*T36)),IF(Q36="Probabilidad",AB35,""))),"")</f>
        <v>0.44999999999999996</v>
      </c>
      <c r="AC36" s="56" t="str">
        <f t="shared" si="34"/>
        <v>Moderado</v>
      </c>
      <c r="AD36" s="57" t="s">
        <v>31</v>
      </c>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25">
      <c r="A37" s="187"/>
      <c r="B37" s="178"/>
      <c r="C37" s="178"/>
      <c r="D37" s="178"/>
      <c r="E37" s="190"/>
      <c r="F37" s="178"/>
      <c r="G37" s="181"/>
      <c r="H37" s="184"/>
      <c r="I37" s="196"/>
      <c r="J37" s="199"/>
      <c r="K37" s="196">
        <f t="shared" si="31"/>
        <v>0</v>
      </c>
      <c r="L37" s="184"/>
      <c r="M37" s="196"/>
      <c r="N37" s="193"/>
      <c r="O37" s="6">
        <v>4</v>
      </c>
      <c r="P37" s="49" t="s">
        <v>234</v>
      </c>
      <c r="Q37" s="51" t="str">
        <f t="shared" ref="Q37:Q39" si="35">IF(OR(R37="Preventivo",R37="Detectivo"),"Probabilidad",IF(R37="Correctivo","Impacto",""))</f>
        <v>Probabilidad</v>
      </c>
      <c r="R37" s="52" t="s">
        <v>14</v>
      </c>
      <c r="S37" s="52" t="s">
        <v>10</v>
      </c>
      <c r="T37" s="53" t="str">
        <f t="shared" si="32"/>
        <v>50%</v>
      </c>
      <c r="U37" s="52" t="s">
        <v>19</v>
      </c>
      <c r="V37" s="52" t="s">
        <v>23</v>
      </c>
      <c r="W37" s="52" t="s">
        <v>118</v>
      </c>
      <c r="X37" s="24">
        <f t="shared" ref="X37:X39" si="36">IFERROR(IF(AND(Q36="Probabilidad",Q37="Probabilidad"),(Z36-(+Z36*T37)),IF(AND(Q36="Impacto",Q37="Probabilidad"),(Z35-(+Z35*T37)),IF(Q37="Impacto",Z36,""))),"")</f>
        <v>0.108</v>
      </c>
      <c r="Y37" s="54" t="str">
        <f t="shared" si="1"/>
        <v>Muy Baja</v>
      </c>
      <c r="Z37" s="55">
        <f t="shared" si="33"/>
        <v>0.108</v>
      </c>
      <c r="AA37" s="54" t="str">
        <f t="shared" si="3"/>
        <v>Moderado</v>
      </c>
      <c r="AB37" s="55">
        <f t="shared" ref="AB37:AB39" si="37">IFERROR(IF(AND(Q36="Impacto",Q37="Impacto"),(AB36-(+AB36*T37)),IF(AND(Q36="Probabilidad",Q37="Impacto"),(AB35-(+AB35*T37)),IF(Q37="Probabilidad",AB36,""))),"")</f>
        <v>0.44999999999999996</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Moderado</v>
      </c>
      <c r="AD37" s="57" t="s">
        <v>135</v>
      </c>
      <c r="AE37" s="58" t="s">
        <v>235</v>
      </c>
      <c r="AF37" s="48" t="s">
        <v>228</v>
      </c>
      <c r="AG37" s="59">
        <v>44713</v>
      </c>
      <c r="AH37" s="59">
        <v>45078</v>
      </c>
      <c r="AI37" s="58" t="s">
        <v>241</v>
      </c>
      <c r="AJ37" s="48" t="s">
        <v>40</v>
      </c>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25">
      <c r="A38" s="187"/>
      <c r="B38" s="178"/>
      <c r="C38" s="178"/>
      <c r="D38" s="178"/>
      <c r="E38" s="190"/>
      <c r="F38" s="178"/>
      <c r="G38" s="181"/>
      <c r="H38" s="184"/>
      <c r="I38" s="196"/>
      <c r="J38" s="199"/>
      <c r="K38" s="196">
        <f t="shared" si="31"/>
        <v>0</v>
      </c>
      <c r="L38" s="184"/>
      <c r="M38" s="196"/>
      <c r="N38" s="193"/>
      <c r="O38" s="6">
        <v>5</v>
      </c>
      <c r="P38" s="49" t="s">
        <v>223</v>
      </c>
      <c r="Q38" s="51" t="str">
        <f t="shared" si="35"/>
        <v>Probabilidad</v>
      </c>
      <c r="R38" s="52" t="s">
        <v>15</v>
      </c>
      <c r="S38" s="52" t="s">
        <v>9</v>
      </c>
      <c r="T38" s="53" t="str">
        <f t="shared" si="32"/>
        <v>30%</v>
      </c>
      <c r="U38" s="52" t="s">
        <v>19</v>
      </c>
      <c r="V38" s="52" t="s">
        <v>23</v>
      </c>
      <c r="W38" s="52" t="s">
        <v>118</v>
      </c>
      <c r="X38" s="24">
        <f t="shared" si="36"/>
        <v>7.5600000000000001E-2</v>
      </c>
      <c r="Y38" s="54" t="str">
        <f t="shared" si="1"/>
        <v>Muy Baja</v>
      </c>
      <c r="Z38" s="55">
        <f t="shared" si="33"/>
        <v>7.5600000000000001E-2</v>
      </c>
      <c r="AA38" s="54" t="str">
        <f t="shared" si="3"/>
        <v>Moderado</v>
      </c>
      <c r="AB38" s="55">
        <f t="shared" si="37"/>
        <v>0.44999999999999996</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Moderado</v>
      </c>
      <c r="AD38" s="57" t="s">
        <v>31</v>
      </c>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25">
      <c r="A39" s="188"/>
      <c r="B39" s="179"/>
      <c r="C39" s="179"/>
      <c r="D39" s="179"/>
      <c r="E39" s="191"/>
      <c r="F39" s="179"/>
      <c r="G39" s="182"/>
      <c r="H39" s="185"/>
      <c r="I39" s="197"/>
      <c r="J39" s="200"/>
      <c r="K39" s="197">
        <f t="shared" si="31"/>
        <v>0</v>
      </c>
      <c r="L39" s="185"/>
      <c r="M39" s="197"/>
      <c r="N39" s="194"/>
      <c r="O39" s="6">
        <v>6</v>
      </c>
      <c r="P39" s="49" t="s">
        <v>265</v>
      </c>
      <c r="Q39" s="51" t="str">
        <f t="shared" si="35"/>
        <v>Probabilidad</v>
      </c>
      <c r="R39" s="52" t="s">
        <v>14</v>
      </c>
      <c r="S39" s="52" t="s">
        <v>9</v>
      </c>
      <c r="T39" s="53" t="str">
        <f t="shared" si="32"/>
        <v>40%</v>
      </c>
      <c r="U39" s="52" t="s">
        <v>19</v>
      </c>
      <c r="V39" s="52" t="s">
        <v>22</v>
      </c>
      <c r="W39" s="52" t="s">
        <v>119</v>
      </c>
      <c r="X39" s="24">
        <f t="shared" si="36"/>
        <v>4.5359999999999998E-2</v>
      </c>
      <c r="Y39" s="54" t="str">
        <f t="shared" si="1"/>
        <v>Muy Baja</v>
      </c>
      <c r="Z39" s="55">
        <f t="shared" si="33"/>
        <v>4.5359999999999998E-2</v>
      </c>
      <c r="AA39" s="54" t="str">
        <f t="shared" si="3"/>
        <v>Moderado</v>
      </c>
      <c r="AB39" s="55">
        <f t="shared" si="37"/>
        <v>0.44999999999999996</v>
      </c>
      <c r="AC39" s="56" t="str">
        <f t="shared" si="38"/>
        <v>Moderado</v>
      </c>
      <c r="AD39" s="57" t="s">
        <v>135</v>
      </c>
      <c r="AE39" s="58" t="s">
        <v>236</v>
      </c>
      <c r="AF39" s="48" t="s">
        <v>220</v>
      </c>
      <c r="AG39" s="59">
        <v>44377</v>
      </c>
      <c r="AH39" s="59">
        <v>44377</v>
      </c>
      <c r="AI39" s="58" t="s">
        <v>264</v>
      </c>
      <c r="AJ39" s="59">
        <v>44377</v>
      </c>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25">
      <c r="A40" s="186">
        <v>6</v>
      </c>
      <c r="B40" s="177"/>
      <c r="C40" s="177"/>
      <c r="D40" s="177"/>
      <c r="E40" s="189"/>
      <c r="F40" s="177"/>
      <c r="G40" s="180"/>
      <c r="H40" s="183" t="str">
        <f>IF(G40&lt;=0,"",IF(G40&lt;=2,"Muy Baja",IF(G40&lt;=24,"Baja",IF(G40&lt;=500,"Media",IF(G40&lt;=5000,"Alta","Muy Alta")))))</f>
        <v/>
      </c>
      <c r="I40" s="195" t="str">
        <f>IF(H40="","",IF(H40="Muy Baja",0.2,IF(H40="Baja",0.4,IF(H40="Media",0.6,IF(H40="Alta",0.8,IF(H40="Muy Alta",1,))))))</f>
        <v/>
      </c>
      <c r="J40" s="198"/>
      <c r="K40" s="195">
        <f>IF(NOT(ISERROR(MATCH(J40,'Tabla Impacto'!$B$221:$B$223,0))),'Tabla Impacto'!$F$223&amp;"Por favor no seleccionar los criterios de impacto(Afectación Económica o presupuestal y Pérdida Reputacional)",J40)</f>
        <v>0</v>
      </c>
      <c r="L40" s="183" t="str">
        <f>IF(OR(K40='Tabla Impacto'!$C$11,K40='Tabla Impacto'!$D$11),"Leve",IF(OR(K40='Tabla Impacto'!$C$12,K40='Tabla Impacto'!$D$12),"Menor",IF(OR(K40='Tabla Impacto'!$C$13,K40='Tabla Impacto'!$D$13),"Moderado",IF(OR(K40='Tabla Impacto'!$C$14,K40='Tabla Impacto'!$D$14),"Mayor",IF(OR(K40='Tabla Impacto'!$C$15,K40='Tabla Impacto'!$D$15),"Catastrófico","")))))</f>
        <v/>
      </c>
      <c r="M40" s="195" t="str">
        <f>IF(L40="","",IF(L40="Leve",0.2,IF(L40="Menor",0.4,IF(L40="Moderado",0.6,IF(L40="Mayor",0.8,IF(L40="Catastrófico",1,))))))</f>
        <v/>
      </c>
      <c r="N40" s="192"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25">
      <c r="A41" s="187"/>
      <c r="B41" s="178"/>
      <c r="C41" s="178"/>
      <c r="D41" s="178"/>
      <c r="E41" s="190"/>
      <c r="F41" s="178"/>
      <c r="G41" s="181"/>
      <c r="H41" s="184"/>
      <c r="I41" s="196"/>
      <c r="J41" s="199"/>
      <c r="K41" s="196">
        <f t="shared" ref="K41:K45" si="39">IF(NOT(ISERROR(MATCH(J41,_xlfn.ANCHORARRAY(E52),0))),I54&amp;"Por favor no seleccionar los criterios de impacto",J41)</f>
        <v>0</v>
      </c>
      <c r="L41" s="184"/>
      <c r="M41" s="196"/>
      <c r="N41" s="193"/>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25">
      <c r="A42" s="187"/>
      <c r="B42" s="178"/>
      <c r="C42" s="178"/>
      <c r="D42" s="178"/>
      <c r="E42" s="190"/>
      <c r="F42" s="178"/>
      <c r="G42" s="181"/>
      <c r="H42" s="184"/>
      <c r="I42" s="196"/>
      <c r="J42" s="199"/>
      <c r="K42" s="196">
        <f t="shared" si="39"/>
        <v>0</v>
      </c>
      <c r="L42" s="184"/>
      <c r="M42" s="196"/>
      <c r="N42" s="193"/>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25">
      <c r="A43" s="187"/>
      <c r="B43" s="178"/>
      <c r="C43" s="178"/>
      <c r="D43" s="178"/>
      <c r="E43" s="190"/>
      <c r="F43" s="178"/>
      <c r="G43" s="181"/>
      <c r="H43" s="184"/>
      <c r="I43" s="196"/>
      <c r="J43" s="199"/>
      <c r="K43" s="196">
        <f t="shared" si="39"/>
        <v>0</v>
      </c>
      <c r="L43" s="184"/>
      <c r="M43" s="196"/>
      <c r="N43" s="193"/>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25">
      <c r="A44" s="187"/>
      <c r="B44" s="178"/>
      <c r="C44" s="178"/>
      <c r="D44" s="178"/>
      <c r="E44" s="190"/>
      <c r="F44" s="178"/>
      <c r="G44" s="181"/>
      <c r="H44" s="184"/>
      <c r="I44" s="196"/>
      <c r="J44" s="199"/>
      <c r="K44" s="196">
        <f t="shared" si="39"/>
        <v>0</v>
      </c>
      <c r="L44" s="184"/>
      <c r="M44" s="196"/>
      <c r="N44" s="193"/>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25">
      <c r="A45" s="188"/>
      <c r="B45" s="179"/>
      <c r="C45" s="179"/>
      <c r="D45" s="179"/>
      <c r="E45" s="191"/>
      <c r="F45" s="179"/>
      <c r="G45" s="182"/>
      <c r="H45" s="185"/>
      <c r="I45" s="197"/>
      <c r="J45" s="200"/>
      <c r="K45" s="197">
        <f t="shared" si="39"/>
        <v>0</v>
      </c>
      <c r="L45" s="185"/>
      <c r="M45" s="197"/>
      <c r="N45" s="194"/>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25">
      <c r="A46" s="186">
        <v>7</v>
      </c>
      <c r="B46" s="177"/>
      <c r="C46" s="177"/>
      <c r="D46" s="177"/>
      <c r="E46" s="189"/>
      <c r="F46" s="177"/>
      <c r="G46" s="180"/>
      <c r="H46" s="183" t="str">
        <f>IF(G46&lt;=0,"",IF(G46&lt;=2,"Muy Baja",IF(G46&lt;=24,"Baja",IF(G46&lt;=500,"Media",IF(G46&lt;=5000,"Alta","Muy Alta")))))</f>
        <v/>
      </c>
      <c r="I46" s="195" t="str">
        <f>IF(H46="","",IF(H46="Muy Baja",0.2,IF(H46="Baja",0.4,IF(H46="Media",0.6,IF(H46="Alta",0.8,IF(H46="Muy Alta",1,))))))</f>
        <v/>
      </c>
      <c r="J46" s="198"/>
      <c r="K46" s="195">
        <f>IF(NOT(ISERROR(MATCH(J46,'Tabla Impacto'!$B$221:$B$223,0))),'Tabla Impacto'!$F$223&amp;"Por favor no seleccionar los criterios de impacto(Afectación Económica o presupuestal y Pérdida Reputacional)",J46)</f>
        <v>0</v>
      </c>
      <c r="L46" s="183" t="str">
        <f>IF(OR(K46='Tabla Impacto'!$C$11,K46='Tabla Impacto'!$D$11),"Leve",IF(OR(K46='Tabla Impacto'!$C$12,K46='Tabla Impacto'!$D$12),"Menor",IF(OR(K46='Tabla Impacto'!$C$13,K46='Tabla Impacto'!$D$13),"Moderado",IF(OR(K46='Tabla Impacto'!$C$14,K46='Tabla Impacto'!$D$14),"Mayor",IF(OR(K46='Tabla Impacto'!$C$15,K46='Tabla Impacto'!$D$15),"Catastrófico","")))))</f>
        <v/>
      </c>
      <c r="M46" s="195" t="str">
        <f>IF(L46="","",IF(L46="Leve",0.2,IF(L46="Menor",0.4,IF(L46="Moderado",0.6,IF(L46="Mayor",0.8,IF(L46="Catastrófico",1,))))))</f>
        <v/>
      </c>
      <c r="N46" s="192"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25">
      <c r="A47" s="187"/>
      <c r="B47" s="178"/>
      <c r="C47" s="178"/>
      <c r="D47" s="178"/>
      <c r="E47" s="190"/>
      <c r="F47" s="178"/>
      <c r="G47" s="181"/>
      <c r="H47" s="184"/>
      <c r="I47" s="196"/>
      <c r="J47" s="199"/>
      <c r="K47" s="196">
        <f t="shared" ref="K47:K51" si="47">IF(NOT(ISERROR(MATCH(J47,_xlfn.ANCHORARRAY(E58),0))),I60&amp;"Por favor no seleccionar los criterios de impacto",J47)</f>
        <v>0</v>
      </c>
      <c r="L47" s="184"/>
      <c r="M47" s="196"/>
      <c r="N47" s="193"/>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25">
      <c r="A48" s="187"/>
      <c r="B48" s="178"/>
      <c r="C48" s="178"/>
      <c r="D48" s="178"/>
      <c r="E48" s="190"/>
      <c r="F48" s="178"/>
      <c r="G48" s="181"/>
      <c r="H48" s="184"/>
      <c r="I48" s="196"/>
      <c r="J48" s="199"/>
      <c r="K48" s="196">
        <f t="shared" si="47"/>
        <v>0</v>
      </c>
      <c r="L48" s="184"/>
      <c r="M48" s="196"/>
      <c r="N48" s="193"/>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25">
      <c r="A49" s="187"/>
      <c r="B49" s="178"/>
      <c r="C49" s="178"/>
      <c r="D49" s="178"/>
      <c r="E49" s="190"/>
      <c r="F49" s="178"/>
      <c r="G49" s="181"/>
      <c r="H49" s="184"/>
      <c r="I49" s="196"/>
      <c r="J49" s="199"/>
      <c r="K49" s="196">
        <f t="shared" si="47"/>
        <v>0</v>
      </c>
      <c r="L49" s="184"/>
      <c r="M49" s="196"/>
      <c r="N49" s="193"/>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25">
      <c r="A50" s="187"/>
      <c r="B50" s="178"/>
      <c r="C50" s="178"/>
      <c r="D50" s="178"/>
      <c r="E50" s="190"/>
      <c r="F50" s="178"/>
      <c r="G50" s="181"/>
      <c r="H50" s="184"/>
      <c r="I50" s="196"/>
      <c r="J50" s="199"/>
      <c r="K50" s="196">
        <f t="shared" si="47"/>
        <v>0</v>
      </c>
      <c r="L50" s="184"/>
      <c r="M50" s="196"/>
      <c r="N50" s="193"/>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25">
      <c r="A51" s="188"/>
      <c r="B51" s="179"/>
      <c r="C51" s="179"/>
      <c r="D51" s="179"/>
      <c r="E51" s="191"/>
      <c r="F51" s="179"/>
      <c r="G51" s="182"/>
      <c r="H51" s="185"/>
      <c r="I51" s="197"/>
      <c r="J51" s="200"/>
      <c r="K51" s="197">
        <f t="shared" si="47"/>
        <v>0</v>
      </c>
      <c r="L51" s="185"/>
      <c r="M51" s="197"/>
      <c r="N51" s="194"/>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25">
      <c r="A52" s="186">
        <v>8</v>
      </c>
      <c r="B52" s="177"/>
      <c r="C52" s="177"/>
      <c r="D52" s="177"/>
      <c r="E52" s="189"/>
      <c r="F52" s="177"/>
      <c r="G52" s="180"/>
      <c r="H52" s="183" t="str">
        <f>IF(G52&lt;=0,"",IF(G52&lt;=2,"Muy Baja",IF(G52&lt;=24,"Baja",IF(G52&lt;=500,"Media",IF(G52&lt;=5000,"Alta","Muy Alta")))))</f>
        <v/>
      </c>
      <c r="I52" s="195" t="str">
        <f>IF(H52="","",IF(H52="Muy Baja",0.2,IF(H52="Baja",0.4,IF(H52="Media",0.6,IF(H52="Alta",0.8,IF(H52="Muy Alta",1,))))))</f>
        <v/>
      </c>
      <c r="J52" s="198"/>
      <c r="K52" s="195">
        <f>IF(NOT(ISERROR(MATCH(J52,'Tabla Impacto'!$B$221:$B$223,0))),'Tabla Impacto'!$F$223&amp;"Por favor no seleccionar los criterios de impacto(Afectación Económica o presupuestal y Pérdida Reputacional)",J52)</f>
        <v>0</v>
      </c>
      <c r="L52" s="183" t="str">
        <f>IF(OR(K52='Tabla Impacto'!$C$11,K52='Tabla Impacto'!$D$11),"Leve",IF(OR(K52='Tabla Impacto'!$C$12,K52='Tabla Impacto'!$D$12),"Menor",IF(OR(K52='Tabla Impacto'!$C$13,K52='Tabla Impacto'!$D$13),"Moderado",IF(OR(K52='Tabla Impacto'!$C$14,K52='Tabla Impacto'!$D$14),"Mayor",IF(OR(K52='Tabla Impacto'!$C$15,K52='Tabla Impacto'!$D$15),"Catastrófico","")))))</f>
        <v/>
      </c>
      <c r="M52" s="195" t="str">
        <f>IF(L52="","",IF(L52="Leve",0.2,IF(L52="Menor",0.4,IF(L52="Moderado",0.6,IF(L52="Mayor",0.8,IF(L52="Catastrófico",1,))))))</f>
        <v/>
      </c>
      <c r="N52" s="192"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25">
      <c r="A53" s="187"/>
      <c r="B53" s="178"/>
      <c r="C53" s="178"/>
      <c r="D53" s="178"/>
      <c r="E53" s="190"/>
      <c r="F53" s="178"/>
      <c r="G53" s="181"/>
      <c r="H53" s="184"/>
      <c r="I53" s="196"/>
      <c r="J53" s="199"/>
      <c r="K53" s="196">
        <f>IF(NOT(ISERROR(MATCH(J53,_xlfn.ANCHORARRAY(E64),0))),I66&amp;"Por favor no seleccionar los criterios de impacto",J53)</f>
        <v>0</v>
      </c>
      <c r="L53" s="184"/>
      <c r="M53" s="196"/>
      <c r="N53" s="193"/>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25">
      <c r="A54" s="187"/>
      <c r="B54" s="178"/>
      <c r="C54" s="178"/>
      <c r="D54" s="178"/>
      <c r="E54" s="190"/>
      <c r="F54" s="178"/>
      <c r="G54" s="181"/>
      <c r="H54" s="184"/>
      <c r="I54" s="196"/>
      <c r="J54" s="199"/>
      <c r="K54" s="196">
        <f>IF(NOT(ISERROR(MATCH(J54,_xlfn.ANCHORARRAY(E65),0))),I67&amp;"Por favor no seleccionar los criterios de impacto",J54)</f>
        <v>0</v>
      </c>
      <c r="L54" s="184"/>
      <c r="M54" s="196"/>
      <c r="N54" s="193"/>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25">
      <c r="A55" s="187"/>
      <c r="B55" s="178"/>
      <c r="C55" s="178"/>
      <c r="D55" s="178"/>
      <c r="E55" s="190"/>
      <c r="F55" s="178"/>
      <c r="G55" s="181"/>
      <c r="H55" s="184"/>
      <c r="I55" s="196"/>
      <c r="J55" s="199"/>
      <c r="K55" s="196">
        <f>IF(NOT(ISERROR(MATCH(J55,_xlfn.ANCHORARRAY(E66),0))),I68&amp;"Por favor no seleccionar los criterios de impacto",J55)</f>
        <v>0</v>
      </c>
      <c r="L55" s="184"/>
      <c r="M55" s="196"/>
      <c r="N55" s="193"/>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25">
      <c r="A56" s="187"/>
      <c r="B56" s="178"/>
      <c r="C56" s="178"/>
      <c r="D56" s="178"/>
      <c r="E56" s="190"/>
      <c r="F56" s="178"/>
      <c r="G56" s="181"/>
      <c r="H56" s="184"/>
      <c r="I56" s="196"/>
      <c r="J56" s="199"/>
      <c r="K56" s="196">
        <f>IF(NOT(ISERROR(MATCH(J56,_xlfn.ANCHORARRAY(E67),0))),I69&amp;"Por favor no seleccionar los criterios de impacto",J56)</f>
        <v>0</v>
      </c>
      <c r="L56" s="184"/>
      <c r="M56" s="196"/>
      <c r="N56" s="193"/>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25">
      <c r="A57" s="188"/>
      <c r="B57" s="179"/>
      <c r="C57" s="179"/>
      <c r="D57" s="179"/>
      <c r="E57" s="191"/>
      <c r="F57" s="179"/>
      <c r="G57" s="182"/>
      <c r="H57" s="185"/>
      <c r="I57" s="197"/>
      <c r="J57" s="200"/>
      <c r="K57" s="197">
        <f>IF(NOT(ISERROR(MATCH(J57,_xlfn.ANCHORARRAY(E68),0))),I70&amp;"Por favor no seleccionar los criterios de impacto",J57)</f>
        <v>0</v>
      </c>
      <c r="L57" s="185"/>
      <c r="M57" s="197"/>
      <c r="N57" s="194"/>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25">
      <c r="A58" s="186">
        <v>9</v>
      </c>
      <c r="B58" s="177"/>
      <c r="C58" s="177"/>
      <c r="D58" s="177"/>
      <c r="E58" s="189"/>
      <c r="F58" s="177"/>
      <c r="G58" s="180"/>
      <c r="H58" s="183" t="str">
        <f>IF(G58&lt;=0,"",IF(G58&lt;=2,"Muy Baja",IF(G58&lt;=24,"Baja",IF(G58&lt;=500,"Media",IF(G58&lt;=5000,"Alta","Muy Alta")))))</f>
        <v/>
      </c>
      <c r="I58" s="195" t="str">
        <f>IF(H58="","",IF(H58="Muy Baja",0.2,IF(H58="Baja",0.4,IF(H58="Media",0.6,IF(H58="Alta",0.8,IF(H58="Muy Alta",1,))))))</f>
        <v/>
      </c>
      <c r="J58" s="198"/>
      <c r="K58" s="195">
        <f>IF(NOT(ISERROR(MATCH(J58,'Tabla Impacto'!$B$221:$B$223,0))),'Tabla Impacto'!$F$223&amp;"Por favor no seleccionar los criterios de impacto(Afectación Económica o presupuestal y Pérdida Reputacional)",J58)</f>
        <v>0</v>
      </c>
      <c r="L58" s="183" t="str">
        <f>IF(OR(K58='Tabla Impacto'!$C$11,K58='Tabla Impacto'!$D$11),"Leve",IF(OR(K58='Tabla Impacto'!$C$12,K58='Tabla Impacto'!$D$12),"Menor",IF(OR(K58='Tabla Impacto'!$C$13,K58='Tabla Impacto'!$D$13),"Moderado",IF(OR(K58='Tabla Impacto'!$C$14,K58='Tabla Impacto'!$D$14),"Mayor",IF(OR(K58='Tabla Impacto'!$C$15,K58='Tabla Impacto'!$D$15),"Catastrófico","")))))</f>
        <v/>
      </c>
      <c r="M58" s="195" t="str">
        <f>IF(L58="","",IF(L58="Leve",0.2,IF(L58="Menor",0.4,IF(L58="Moderado",0.6,IF(L58="Mayor",0.8,IF(L58="Catastrófico",1,))))))</f>
        <v/>
      </c>
      <c r="N58" s="192"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25">
      <c r="A59" s="187"/>
      <c r="B59" s="178"/>
      <c r="C59" s="178"/>
      <c r="D59" s="178"/>
      <c r="E59" s="190"/>
      <c r="F59" s="178"/>
      <c r="G59" s="181"/>
      <c r="H59" s="184"/>
      <c r="I59" s="196"/>
      <c r="J59" s="199"/>
      <c r="K59" s="196">
        <f>IF(NOT(ISERROR(MATCH(J59,_xlfn.ANCHORARRAY(E70),0))),I72&amp;"Por favor no seleccionar los criterios de impacto",J59)</f>
        <v>0</v>
      </c>
      <c r="L59" s="184"/>
      <c r="M59" s="196"/>
      <c r="N59" s="193"/>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25">
      <c r="A60" s="187"/>
      <c r="B60" s="178"/>
      <c r="C60" s="178"/>
      <c r="D60" s="178"/>
      <c r="E60" s="190"/>
      <c r="F60" s="178"/>
      <c r="G60" s="181"/>
      <c r="H60" s="184"/>
      <c r="I60" s="196"/>
      <c r="J60" s="199"/>
      <c r="K60" s="196">
        <f>IF(NOT(ISERROR(MATCH(J60,_xlfn.ANCHORARRAY(E71),0))),I73&amp;"Por favor no seleccionar los criterios de impacto",J60)</f>
        <v>0</v>
      </c>
      <c r="L60" s="184"/>
      <c r="M60" s="196"/>
      <c r="N60" s="193"/>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25">
      <c r="A61" s="187"/>
      <c r="B61" s="178"/>
      <c r="C61" s="178"/>
      <c r="D61" s="178"/>
      <c r="E61" s="190"/>
      <c r="F61" s="178"/>
      <c r="G61" s="181"/>
      <c r="H61" s="184"/>
      <c r="I61" s="196"/>
      <c r="J61" s="199"/>
      <c r="K61" s="196">
        <f>IF(NOT(ISERROR(MATCH(J61,_xlfn.ANCHORARRAY(E72),0))),I74&amp;"Por favor no seleccionar los criterios de impacto",J61)</f>
        <v>0</v>
      </c>
      <c r="L61" s="184"/>
      <c r="M61" s="196"/>
      <c r="N61" s="193"/>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25">
      <c r="A62" s="187"/>
      <c r="B62" s="178"/>
      <c r="C62" s="178"/>
      <c r="D62" s="178"/>
      <c r="E62" s="190"/>
      <c r="F62" s="178"/>
      <c r="G62" s="181"/>
      <c r="H62" s="184"/>
      <c r="I62" s="196"/>
      <c r="J62" s="199"/>
      <c r="K62" s="196">
        <f>IF(NOT(ISERROR(MATCH(J62,_xlfn.ANCHORARRAY(E73),0))),I75&amp;"Por favor no seleccionar los criterios de impacto",J62)</f>
        <v>0</v>
      </c>
      <c r="L62" s="184"/>
      <c r="M62" s="196"/>
      <c r="N62" s="193"/>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25">
      <c r="A63" s="188"/>
      <c r="B63" s="179"/>
      <c r="C63" s="179"/>
      <c r="D63" s="179"/>
      <c r="E63" s="191"/>
      <c r="F63" s="179"/>
      <c r="G63" s="182"/>
      <c r="H63" s="185"/>
      <c r="I63" s="197"/>
      <c r="J63" s="200"/>
      <c r="K63" s="197">
        <f>IF(NOT(ISERROR(MATCH(J63,_xlfn.ANCHORARRAY(E74),0))),I76&amp;"Por favor no seleccionar los criterios de impacto",J63)</f>
        <v>0</v>
      </c>
      <c r="L63" s="185"/>
      <c r="M63" s="197"/>
      <c r="N63" s="194"/>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25">
      <c r="A64" s="186">
        <v>10</v>
      </c>
      <c r="B64" s="177"/>
      <c r="C64" s="177"/>
      <c r="D64" s="177"/>
      <c r="E64" s="189"/>
      <c r="F64" s="177"/>
      <c r="G64" s="180"/>
      <c r="H64" s="183" t="str">
        <f>IF(G64&lt;=0,"",IF(G64&lt;=2,"Muy Baja",IF(G64&lt;=24,"Baja",IF(G64&lt;=500,"Media",IF(G64&lt;=5000,"Alta","Muy Alta")))))</f>
        <v/>
      </c>
      <c r="I64" s="195" t="str">
        <f>IF(H64="","",IF(H64="Muy Baja",0.2,IF(H64="Baja",0.4,IF(H64="Media",0.6,IF(H64="Alta",0.8,IF(H64="Muy Alta",1,))))))</f>
        <v/>
      </c>
      <c r="J64" s="198"/>
      <c r="K64" s="195">
        <f>IF(NOT(ISERROR(MATCH(J64,'Tabla Impacto'!$B$221:$B$223,0))),'Tabla Impacto'!$F$223&amp;"Por favor no seleccionar los criterios de impacto(Afectación Económica o presupuestal y Pérdida Reputacional)",J64)</f>
        <v>0</v>
      </c>
      <c r="L64" s="183" t="str">
        <f>IF(OR(K64='Tabla Impacto'!$C$11,K64='Tabla Impacto'!$D$11),"Leve",IF(OR(K64='Tabla Impacto'!$C$12,K64='Tabla Impacto'!$D$12),"Menor",IF(OR(K64='Tabla Impacto'!$C$13,K64='Tabla Impacto'!$D$13),"Moderado",IF(OR(K64='Tabla Impacto'!$C$14,K64='Tabla Impacto'!$D$14),"Mayor",IF(OR(K64='Tabla Impacto'!$C$15,K64='Tabla Impacto'!$D$15),"Catastrófico","")))))</f>
        <v/>
      </c>
      <c r="M64" s="195" t="str">
        <f>IF(L64="","",IF(L64="Leve",0.2,IF(L64="Menor",0.4,IF(L64="Moderado",0.6,IF(L64="Mayor",0.8,IF(L64="Catastrófico",1,))))))</f>
        <v/>
      </c>
      <c r="N64" s="192"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25">
      <c r="A65" s="187"/>
      <c r="B65" s="178"/>
      <c r="C65" s="178"/>
      <c r="D65" s="178"/>
      <c r="E65" s="190"/>
      <c r="F65" s="178"/>
      <c r="G65" s="181"/>
      <c r="H65" s="184"/>
      <c r="I65" s="196"/>
      <c r="J65" s="199"/>
      <c r="K65" s="196">
        <f>IF(NOT(ISERROR(MATCH(J65,_xlfn.ANCHORARRAY(E76),0))),I78&amp;"Por favor no seleccionar los criterios de impacto",J65)</f>
        <v>0</v>
      </c>
      <c r="L65" s="184"/>
      <c r="M65" s="196"/>
      <c r="N65" s="193"/>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25">
      <c r="A66" s="187"/>
      <c r="B66" s="178"/>
      <c r="C66" s="178"/>
      <c r="D66" s="178"/>
      <c r="E66" s="190"/>
      <c r="F66" s="178"/>
      <c r="G66" s="181"/>
      <c r="H66" s="184"/>
      <c r="I66" s="196"/>
      <c r="J66" s="199"/>
      <c r="K66" s="196">
        <f>IF(NOT(ISERROR(MATCH(J66,_xlfn.ANCHORARRAY(E77),0))),I79&amp;"Por favor no seleccionar los criterios de impacto",J66)</f>
        <v>0</v>
      </c>
      <c r="L66" s="184"/>
      <c r="M66" s="196"/>
      <c r="N66" s="193"/>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25">
      <c r="A67" s="187"/>
      <c r="B67" s="178"/>
      <c r="C67" s="178"/>
      <c r="D67" s="178"/>
      <c r="E67" s="190"/>
      <c r="F67" s="178"/>
      <c r="G67" s="181"/>
      <c r="H67" s="184"/>
      <c r="I67" s="196"/>
      <c r="J67" s="199"/>
      <c r="K67" s="196">
        <f>IF(NOT(ISERROR(MATCH(J67,_xlfn.ANCHORARRAY(E78),0))),I80&amp;"Por favor no seleccionar los criterios de impacto",J67)</f>
        <v>0</v>
      </c>
      <c r="L67" s="184"/>
      <c r="M67" s="196"/>
      <c r="N67" s="193"/>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25">
      <c r="A68" s="187"/>
      <c r="B68" s="178"/>
      <c r="C68" s="178"/>
      <c r="D68" s="178"/>
      <c r="E68" s="190"/>
      <c r="F68" s="178"/>
      <c r="G68" s="181"/>
      <c r="H68" s="184"/>
      <c r="I68" s="196"/>
      <c r="J68" s="199"/>
      <c r="K68" s="196">
        <f>IF(NOT(ISERROR(MATCH(J68,_xlfn.ANCHORARRAY(E79),0))),I81&amp;"Por favor no seleccionar los criterios de impacto",J68)</f>
        <v>0</v>
      </c>
      <c r="L68" s="184"/>
      <c r="M68" s="196"/>
      <c r="N68" s="193"/>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25">
      <c r="A69" s="188"/>
      <c r="B69" s="179"/>
      <c r="C69" s="179"/>
      <c r="D69" s="179"/>
      <c r="E69" s="191"/>
      <c r="F69" s="179"/>
      <c r="G69" s="182"/>
      <c r="H69" s="185"/>
      <c r="I69" s="197"/>
      <c r="J69" s="200"/>
      <c r="K69" s="197">
        <f>IF(NOT(ISERROR(MATCH(J69,_xlfn.ANCHORARRAY(E80),0))),I82&amp;"Por favor no seleccionar los criterios de impacto",J69)</f>
        <v>0</v>
      </c>
      <c r="L69" s="185"/>
      <c r="M69" s="197"/>
      <c r="N69" s="194"/>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25">
      <c r="A70" s="6"/>
      <c r="B70" s="233" t="s">
        <v>130</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25">
      <c r="A72" s="1"/>
      <c r="B72" s="25" t="s">
        <v>142</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G8:G9"/>
    <mergeCell ref="H8:H9"/>
    <mergeCell ref="I8:I9"/>
    <mergeCell ref="L8:L9"/>
    <mergeCell ref="M8:M9"/>
    <mergeCell ref="B8:B9"/>
    <mergeCell ref="N8:N9"/>
    <mergeCell ref="J8:J9"/>
    <mergeCell ref="K8:K9"/>
    <mergeCell ref="N10:N15"/>
    <mergeCell ref="I10:I15"/>
    <mergeCell ref="J10:J15"/>
    <mergeCell ref="K10:K15"/>
    <mergeCell ref="L10:L15"/>
    <mergeCell ref="M10:M15"/>
    <mergeCell ref="AA8:AA9"/>
    <mergeCell ref="Y8:Y9"/>
    <mergeCell ref="Z8:Z9"/>
    <mergeCell ref="Q8:Q9"/>
    <mergeCell ref="R8:W8"/>
    <mergeCell ref="D16:D21"/>
    <mergeCell ref="F10:F15"/>
    <mergeCell ref="G10:G15"/>
    <mergeCell ref="H10:H15"/>
    <mergeCell ref="A10:A15"/>
    <mergeCell ref="B10:B15"/>
    <mergeCell ref="C10:C15"/>
    <mergeCell ref="D10:D15"/>
    <mergeCell ref="E10:E15"/>
    <mergeCell ref="E16:E21"/>
  </mergeCells>
  <conditionalFormatting sqref="H10 H16">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22">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28">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34">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58">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64">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10">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16">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22">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40">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46">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52">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58">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12" formula="1"/>
  </ignoredErrors>
  <legacy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zoomScale="50" zoomScaleNormal="50" workbookViewId="0">
      <selection activeCell="AZ37" sqref="AZ37"/>
    </sheetView>
  </sheetViews>
  <sheetFormatPr baseColWidth="10" defaultRowHeight="14.4" x14ac:dyDescent="0.3"/>
  <cols>
    <col min="2" max="39" width="5.6640625" customWidth="1"/>
    <col min="41" max="46" width="5.6640625" customWidth="1"/>
  </cols>
  <sheetData>
    <row r="1" spans="1:99" x14ac:dyDescent="0.3">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3">
      <c r="A2" s="97"/>
      <c r="B2" s="236" t="s">
        <v>160</v>
      </c>
      <c r="C2" s="236"/>
      <c r="D2" s="236"/>
      <c r="E2" s="236"/>
      <c r="F2" s="236"/>
      <c r="G2" s="236"/>
      <c r="H2" s="236"/>
      <c r="I2" s="236"/>
      <c r="J2" s="273" t="s">
        <v>2</v>
      </c>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3">
      <c r="A3" s="97"/>
      <c r="B3" s="236"/>
      <c r="C3" s="236"/>
      <c r="D3" s="236"/>
      <c r="E3" s="236"/>
      <c r="F3" s="236"/>
      <c r="G3" s="236"/>
      <c r="H3" s="236"/>
      <c r="I3" s="236"/>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3">
      <c r="A4" s="97"/>
      <c r="B4" s="236"/>
      <c r="C4" s="236"/>
      <c r="D4" s="236"/>
      <c r="E4" s="236"/>
      <c r="F4" s="236"/>
      <c r="G4" s="236"/>
      <c r="H4" s="236"/>
      <c r="I4" s="236"/>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 thickBot="1" x14ac:dyDescent="0.35">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3">
      <c r="A6" s="97"/>
      <c r="B6" s="284" t="s">
        <v>4</v>
      </c>
      <c r="C6" s="284"/>
      <c r="D6" s="285"/>
      <c r="E6" s="274" t="s">
        <v>115</v>
      </c>
      <c r="F6" s="275"/>
      <c r="G6" s="275"/>
      <c r="H6" s="275"/>
      <c r="I6" s="276"/>
      <c r="J6" s="270" t="str">
        <f>IF(AND('Mapa final'!$H$10="Muy Alta",'Mapa final'!$L$10="Leve"),CONCATENATE("R",'Mapa final'!$A$10),"")</f>
        <v/>
      </c>
      <c r="K6" s="271"/>
      <c r="L6" s="271" t="str">
        <f>IF(AND('Mapa final'!$H$16="Muy Alta",'Mapa final'!$L$16="Leve"),CONCATENATE("R",'Mapa final'!$A$16),"")</f>
        <v/>
      </c>
      <c r="M6" s="271"/>
      <c r="N6" s="271" t="str">
        <f>IF(AND('Mapa final'!$H$22="Muy Alta",'Mapa final'!$L$22="Leve"),CONCATENATE("R",'Mapa final'!$A$22),"")</f>
        <v/>
      </c>
      <c r="O6" s="272"/>
      <c r="P6" s="270" t="str">
        <f>IF(AND('Mapa final'!$H$10="Muy Alta",'Mapa final'!$L$10="Menor"),CONCATENATE("R",'Mapa final'!$A$10),"")</f>
        <v/>
      </c>
      <c r="Q6" s="271"/>
      <c r="R6" s="271" t="str">
        <f>IF(AND('Mapa final'!$H$16="Muy Alta",'Mapa final'!$L$16="Menor"),CONCATENATE("R",'Mapa final'!$A$16),"")</f>
        <v/>
      </c>
      <c r="S6" s="271"/>
      <c r="T6" s="271" t="str">
        <f>IF(AND('Mapa final'!$H$22="Muy Alta",'Mapa final'!$L$22="Menor"),CONCATENATE("R",'Mapa final'!$A$22),"")</f>
        <v/>
      </c>
      <c r="U6" s="272"/>
      <c r="V6" s="270" t="str">
        <f>IF(AND('Mapa final'!$H$10="Muy Alta",'Mapa final'!$L$10="Moderado"),CONCATENATE("R",'Mapa final'!$A$10),"")</f>
        <v/>
      </c>
      <c r="W6" s="271"/>
      <c r="X6" s="271" t="str">
        <f>IF(AND('Mapa final'!$H$16="Muy Alta",'Mapa final'!$L$16="Moderado"),CONCATENATE("R",'Mapa final'!$A$16),"")</f>
        <v/>
      </c>
      <c r="Y6" s="271"/>
      <c r="Z6" s="271" t="str">
        <f>IF(AND('Mapa final'!$H$22="Muy Alta",'Mapa final'!$L$22="Moderado"),CONCATENATE("R",'Mapa final'!$A$22),"")</f>
        <v/>
      </c>
      <c r="AA6" s="272"/>
      <c r="AB6" s="270" t="str">
        <f>IF(AND('Mapa final'!$H$10="Muy Alta",'Mapa final'!$L$10="Mayor"),CONCATENATE("R",'Mapa final'!$A$10),"")</f>
        <v/>
      </c>
      <c r="AC6" s="271"/>
      <c r="AD6" s="271" t="str">
        <f>IF(AND('Mapa final'!$H$16="Muy Alta",'Mapa final'!$L$16="Mayor"),CONCATENATE("R",'Mapa final'!$A$16),"")</f>
        <v/>
      </c>
      <c r="AE6" s="271"/>
      <c r="AF6" s="271" t="str">
        <f>IF(AND('Mapa final'!$H$22="Muy Alta",'Mapa final'!$L$22="Mayor"),CONCATENATE("R",'Mapa final'!$A$22),"")</f>
        <v/>
      </c>
      <c r="AG6" s="272"/>
      <c r="AH6" s="261" t="str">
        <f>IF(AND('Mapa final'!$H$10="Muy Alta",'Mapa final'!$L$10="Catastrófico"),CONCATENATE("R",'Mapa final'!$A$10),"")</f>
        <v/>
      </c>
      <c r="AI6" s="262"/>
      <c r="AJ6" s="262" t="str">
        <f>IF(AND('Mapa final'!$H$16="Muy Alta",'Mapa final'!$L$16="Catastrófico"),CONCATENATE("R",'Mapa final'!$A$16),"")</f>
        <v/>
      </c>
      <c r="AK6" s="262"/>
      <c r="AL6" s="262" t="str">
        <f>IF(AND('Mapa final'!$H$22="Muy Alta",'Mapa final'!$L$22="Catastrófico"),CONCATENATE("R",'Mapa final'!$A$22),"")</f>
        <v/>
      </c>
      <c r="AM6" s="263"/>
      <c r="AO6" s="286" t="s">
        <v>79</v>
      </c>
      <c r="AP6" s="287"/>
      <c r="AQ6" s="287"/>
      <c r="AR6" s="287"/>
      <c r="AS6" s="287"/>
      <c r="AT6" s="288"/>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3">
      <c r="A7" s="97"/>
      <c r="B7" s="284"/>
      <c r="C7" s="284"/>
      <c r="D7" s="285"/>
      <c r="E7" s="277"/>
      <c r="F7" s="278"/>
      <c r="G7" s="278"/>
      <c r="H7" s="278"/>
      <c r="I7" s="279"/>
      <c r="J7" s="264"/>
      <c r="K7" s="265"/>
      <c r="L7" s="265"/>
      <c r="M7" s="265"/>
      <c r="N7" s="265"/>
      <c r="O7" s="266"/>
      <c r="P7" s="264"/>
      <c r="Q7" s="265"/>
      <c r="R7" s="265"/>
      <c r="S7" s="265"/>
      <c r="T7" s="265"/>
      <c r="U7" s="266"/>
      <c r="V7" s="264"/>
      <c r="W7" s="265"/>
      <c r="X7" s="265"/>
      <c r="Y7" s="265"/>
      <c r="Z7" s="265"/>
      <c r="AA7" s="266"/>
      <c r="AB7" s="264"/>
      <c r="AC7" s="265"/>
      <c r="AD7" s="265"/>
      <c r="AE7" s="265"/>
      <c r="AF7" s="265"/>
      <c r="AG7" s="266"/>
      <c r="AH7" s="255"/>
      <c r="AI7" s="256"/>
      <c r="AJ7" s="256"/>
      <c r="AK7" s="256"/>
      <c r="AL7" s="256"/>
      <c r="AM7" s="257"/>
      <c r="AN7" s="97"/>
      <c r="AO7" s="289"/>
      <c r="AP7" s="290"/>
      <c r="AQ7" s="290"/>
      <c r="AR7" s="290"/>
      <c r="AS7" s="290"/>
      <c r="AT7" s="291"/>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3">
      <c r="A8" s="97"/>
      <c r="B8" s="284"/>
      <c r="C8" s="284"/>
      <c r="D8" s="285"/>
      <c r="E8" s="277"/>
      <c r="F8" s="278"/>
      <c r="G8" s="278"/>
      <c r="H8" s="278"/>
      <c r="I8" s="279"/>
      <c r="J8" s="264" t="str">
        <f>IF(AND('Mapa final'!$H$28="Muy Alta",'Mapa final'!$L$28="Leve"),CONCATENATE("R",'Mapa final'!$A$28),"")</f>
        <v/>
      </c>
      <c r="K8" s="265"/>
      <c r="L8" s="265" t="str">
        <f>IF(AND('Mapa final'!$H$34="Muy Alta",'Mapa final'!$L$34="Leve"),CONCATENATE("R",'Mapa final'!$A$34),"")</f>
        <v/>
      </c>
      <c r="M8" s="265"/>
      <c r="N8" s="265" t="str">
        <f>IF(AND('Mapa final'!$H$40="Muy Alta",'Mapa final'!$L$40="Leve"),CONCATENATE("R",'Mapa final'!$A$40),"")</f>
        <v/>
      </c>
      <c r="O8" s="266"/>
      <c r="P8" s="264" t="str">
        <f>IF(AND('Mapa final'!$H$28="Muy Alta",'Mapa final'!$L$28="Menor"),CONCATENATE("R",'Mapa final'!$A$28),"")</f>
        <v/>
      </c>
      <c r="Q8" s="265"/>
      <c r="R8" s="265" t="str">
        <f>IF(AND('Mapa final'!$H$34="Muy Alta",'Mapa final'!$L$34="Menor"),CONCATENATE("R",'Mapa final'!$A$34),"")</f>
        <v/>
      </c>
      <c r="S8" s="265"/>
      <c r="T8" s="265" t="str">
        <f>IF(AND('Mapa final'!$H$40="Muy Alta",'Mapa final'!$L$40="Menor"),CONCATENATE("R",'Mapa final'!$A$40),"")</f>
        <v/>
      </c>
      <c r="U8" s="266"/>
      <c r="V8" s="264" t="str">
        <f>IF(AND('Mapa final'!$H$28="Muy Alta",'Mapa final'!$L$28="Moderado"),CONCATENATE("R",'Mapa final'!$A$28),"")</f>
        <v/>
      </c>
      <c r="W8" s="265"/>
      <c r="X8" s="265" t="str">
        <f>IF(AND('Mapa final'!$H$34="Muy Alta",'Mapa final'!$L$34="Moderado"),CONCATENATE("R",'Mapa final'!$A$34),"")</f>
        <v/>
      </c>
      <c r="Y8" s="265"/>
      <c r="Z8" s="265" t="str">
        <f>IF(AND('Mapa final'!$H$40="Muy Alta",'Mapa final'!$L$40="Moderado"),CONCATENATE("R",'Mapa final'!$A$40),"")</f>
        <v/>
      </c>
      <c r="AA8" s="266"/>
      <c r="AB8" s="264" t="str">
        <f>IF(AND('Mapa final'!$H$28="Muy Alta",'Mapa final'!$L$28="Mayor"),CONCATENATE("R",'Mapa final'!$A$28),"")</f>
        <v/>
      </c>
      <c r="AC8" s="265"/>
      <c r="AD8" s="265" t="str">
        <f>IF(AND('Mapa final'!$H$34="Muy Alta",'Mapa final'!$L$34="Mayor"),CONCATENATE("R",'Mapa final'!$A$34),"")</f>
        <v/>
      </c>
      <c r="AE8" s="265"/>
      <c r="AF8" s="265" t="str">
        <f>IF(AND('Mapa final'!$H$40="Muy Alta",'Mapa final'!$L$40="Mayor"),CONCATENATE("R",'Mapa final'!$A$40),"")</f>
        <v/>
      </c>
      <c r="AG8" s="266"/>
      <c r="AH8" s="255" t="str">
        <f>IF(AND('Mapa final'!$H$28="Muy Alta",'Mapa final'!$L$28="Catastrófico"),CONCATENATE("R",'Mapa final'!$A$28),"")</f>
        <v/>
      </c>
      <c r="AI8" s="256"/>
      <c r="AJ8" s="256" t="str">
        <f>IF(AND('Mapa final'!$H$34="Muy Alta",'Mapa final'!$L$34="Catastrófico"),CONCATENATE("R",'Mapa final'!$A$34),"")</f>
        <v/>
      </c>
      <c r="AK8" s="256"/>
      <c r="AL8" s="256" t="str">
        <f>IF(AND('Mapa final'!$H$40="Muy Alta",'Mapa final'!$L$40="Catastrófico"),CONCATENATE("R",'Mapa final'!$A$40),"")</f>
        <v/>
      </c>
      <c r="AM8" s="257"/>
      <c r="AN8" s="97"/>
      <c r="AO8" s="289"/>
      <c r="AP8" s="290"/>
      <c r="AQ8" s="290"/>
      <c r="AR8" s="290"/>
      <c r="AS8" s="290"/>
      <c r="AT8" s="291"/>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3">
      <c r="A9" s="97"/>
      <c r="B9" s="284"/>
      <c r="C9" s="284"/>
      <c r="D9" s="285"/>
      <c r="E9" s="277"/>
      <c r="F9" s="278"/>
      <c r="G9" s="278"/>
      <c r="H9" s="278"/>
      <c r="I9" s="279"/>
      <c r="J9" s="264"/>
      <c r="K9" s="265"/>
      <c r="L9" s="265"/>
      <c r="M9" s="265"/>
      <c r="N9" s="265"/>
      <c r="O9" s="266"/>
      <c r="P9" s="264"/>
      <c r="Q9" s="265"/>
      <c r="R9" s="265"/>
      <c r="S9" s="265"/>
      <c r="T9" s="265"/>
      <c r="U9" s="266"/>
      <c r="V9" s="264"/>
      <c r="W9" s="265"/>
      <c r="X9" s="265"/>
      <c r="Y9" s="265"/>
      <c r="Z9" s="265"/>
      <c r="AA9" s="266"/>
      <c r="AB9" s="264"/>
      <c r="AC9" s="265"/>
      <c r="AD9" s="265"/>
      <c r="AE9" s="265"/>
      <c r="AF9" s="265"/>
      <c r="AG9" s="266"/>
      <c r="AH9" s="255"/>
      <c r="AI9" s="256"/>
      <c r="AJ9" s="256"/>
      <c r="AK9" s="256"/>
      <c r="AL9" s="256"/>
      <c r="AM9" s="257"/>
      <c r="AN9" s="97"/>
      <c r="AO9" s="289"/>
      <c r="AP9" s="290"/>
      <c r="AQ9" s="290"/>
      <c r="AR9" s="290"/>
      <c r="AS9" s="290"/>
      <c r="AT9" s="291"/>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3">
      <c r="A10" s="97"/>
      <c r="B10" s="284"/>
      <c r="C10" s="284"/>
      <c r="D10" s="285"/>
      <c r="E10" s="277"/>
      <c r="F10" s="278"/>
      <c r="G10" s="278"/>
      <c r="H10" s="278"/>
      <c r="I10" s="279"/>
      <c r="J10" s="264" t="str">
        <f>IF(AND('Mapa final'!$H$46="Muy Alta",'Mapa final'!$L$46="Leve"),CONCATENATE("R",'Mapa final'!$A$46),"")</f>
        <v/>
      </c>
      <c r="K10" s="265"/>
      <c r="L10" s="265" t="str">
        <f>IF(AND('Mapa final'!$H$52="Muy Alta",'Mapa final'!$L$52="Leve"),CONCATENATE("R",'Mapa final'!$A$52),"")</f>
        <v/>
      </c>
      <c r="M10" s="265"/>
      <c r="N10" s="265" t="str">
        <f>IF(AND('Mapa final'!$H$58="Muy Alta",'Mapa final'!$L$58="Leve"),CONCATENATE("R",'Mapa final'!$A$58),"")</f>
        <v/>
      </c>
      <c r="O10" s="266"/>
      <c r="P10" s="264" t="str">
        <f>IF(AND('Mapa final'!$H$46="Muy Alta",'Mapa final'!$L$46="Menor"),CONCATENATE("R",'Mapa final'!$A$46),"")</f>
        <v/>
      </c>
      <c r="Q10" s="265"/>
      <c r="R10" s="265" t="str">
        <f>IF(AND('Mapa final'!$H$52="Muy Alta",'Mapa final'!$L$52="Menor"),CONCATENATE("R",'Mapa final'!$A$52),"")</f>
        <v/>
      </c>
      <c r="S10" s="265"/>
      <c r="T10" s="265" t="str">
        <f>IF(AND('Mapa final'!$H$58="Muy Alta",'Mapa final'!$L$58="Menor"),CONCATENATE("R",'Mapa final'!$A$58),"")</f>
        <v/>
      </c>
      <c r="U10" s="266"/>
      <c r="V10" s="264" t="str">
        <f>IF(AND('Mapa final'!$H$46="Muy Alta",'Mapa final'!$L$46="Moderado"),CONCATENATE("R",'Mapa final'!$A$46),"")</f>
        <v/>
      </c>
      <c r="W10" s="265"/>
      <c r="X10" s="265" t="str">
        <f>IF(AND('Mapa final'!$H$52="Muy Alta",'Mapa final'!$L$52="Moderado"),CONCATENATE("R",'Mapa final'!$A$52),"")</f>
        <v/>
      </c>
      <c r="Y10" s="265"/>
      <c r="Z10" s="265" t="str">
        <f>IF(AND('Mapa final'!$H$58="Muy Alta",'Mapa final'!$L$58="Moderado"),CONCATENATE("R",'Mapa final'!$A$58),"")</f>
        <v/>
      </c>
      <c r="AA10" s="266"/>
      <c r="AB10" s="264" t="str">
        <f>IF(AND('Mapa final'!$H$46="Muy Alta",'Mapa final'!$L$46="Mayor"),CONCATENATE("R",'Mapa final'!$A$46),"")</f>
        <v/>
      </c>
      <c r="AC10" s="265"/>
      <c r="AD10" s="265" t="str">
        <f>IF(AND('Mapa final'!$H$52="Muy Alta",'Mapa final'!$L$52="Mayor"),CONCATENATE("R",'Mapa final'!$A$52),"")</f>
        <v/>
      </c>
      <c r="AE10" s="265"/>
      <c r="AF10" s="265" t="str">
        <f>IF(AND('Mapa final'!$H$58="Muy Alta",'Mapa final'!$L$58="Mayor"),CONCATENATE("R",'Mapa final'!$A$58),"")</f>
        <v/>
      </c>
      <c r="AG10" s="266"/>
      <c r="AH10" s="255" t="str">
        <f>IF(AND('Mapa final'!$H$46="Muy Alta",'Mapa final'!$L$46="Catastrófico"),CONCATENATE("R",'Mapa final'!$A$46),"")</f>
        <v/>
      </c>
      <c r="AI10" s="256"/>
      <c r="AJ10" s="256" t="str">
        <f>IF(AND('Mapa final'!$H$52="Muy Alta",'Mapa final'!$L$52="Catastrófico"),CONCATENATE("R",'Mapa final'!$A$52),"")</f>
        <v/>
      </c>
      <c r="AK10" s="256"/>
      <c r="AL10" s="256" t="str">
        <f>IF(AND('Mapa final'!$H$58="Muy Alta",'Mapa final'!$L$58="Catastrófico"),CONCATENATE("R",'Mapa final'!$A$58),"")</f>
        <v/>
      </c>
      <c r="AM10" s="257"/>
      <c r="AN10" s="97"/>
      <c r="AO10" s="289"/>
      <c r="AP10" s="290"/>
      <c r="AQ10" s="290"/>
      <c r="AR10" s="290"/>
      <c r="AS10" s="290"/>
      <c r="AT10" s="291"/>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3">
      <c r="A11" s="97"/>
      <c r="B11" s="284"/>
      <c r="C11" s="284"/>
      <c r="D11" s="285"/>
      <c r="E11" s="277"/>
      <c r="F11" s="278"/>
      <c r="G11" s="278"/>
      <c r="H11" s="278"/>
      <c r="I11" s="279"/>
      <c r="J11" s="264"/>
      <c r="K11" s="265"/>
      <c r="L11" s="265"/>
      <c r="M11" s="265"/>
      <c r="N11" s="265"/>
      <c r="O11" s="266"/>
      <c r="P11" s="264"/>
      <c r="Q11" s="265"/>
      <c r="R11" s="265"/>
      <c r="S11" s="265"/>
      <c r="T11" s="265"/>
      <c r="U11" s="266"/>
      <c r="V11" s="264"/>
      <c r="W11" s="265"/>
      <c r="X11" s="265"/>
      <c r="Y11" s="265"/>
      <c r="Z11" s="265"/>
      <c r="AA11" s="266"/>
      <c r="AB11" s="264"/>
      <c r="AC11" s="265"/>
      <c r="AD11" s="265"/>
      <c r="AE11" s="265"/>
      <c r="AF11" s="265"/>
      <c r="AG11" s="266"/>
      <c r="AH11" s="255"/>
      <c r="AI11" s="256"/>
      <c r="AJ11" s="256"/>
      <c r="AK11" s="256"/>
      <c r="AL11" s="256"/>
      <c r="AM11" s="257"/>
      <c r="AN11" s="97"/>
      <c r="AO11" s="289"/>
      <c r="AP11" s="290"/>
      <c r="AQ11" s="290"/>
      <c r="AR11" s="290"/>
      <c r="AS11" s="290"/>
      <c r="AT11" s="291"/>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3">
      <c r="A12" s="97"/>
      <c r="B12" s="284"/>
      <c r="C12" s="284"/>
      <c r="D12" s="285"/>
      <c r="E12" s="277"/>
      <c r="F12" s="278"/>
      <c r="G12" s="278"/>
      <c r="H12" s="278"/>
      <c r="I12" s="279"/>
      <c r="J12" s="264" t="str">
        <f>IF(AND('Mapa final'!$H$64="Muy Alta",'Mapa final'!$L$64="Leve"),CONCATENATE("R",'Mapa final'!$A$64),"")</f>
        <v/>
      </c>
      <c r="K12" s="265"/>
      <c r="L12" s="265" t="str">
        <f>IF(AND('Mapa final'!$H$70="Muy Alta",'Mapa final'!$L$70="Leve"),CONCATENATE("R",'Mapa final'!$A$70),"")</f>
        <v/>
      </c>
      <c r="M12" s="265"/>
      <c r="N12" s="265" t="str">
        <f>IF(AND('Mapa final'!$H$76="Muy Alta",'Mapa final'!$L$76="Leve"),CONCATENATE("R",'Mapa final'!$A$76),"")</f>
        <v/>
      </c>
      <c r="O12" s="266"/>
      <c r="P12" s="264" t="str">
        <f>IF(AND('Mapa final'!$H$64="Muy Alta",'Mapa final'!$L$64="Menor"),CONCATENATE("R",'Mapa final'!$A$64),"")</f>
        <v/>
      </c>
      <c r="Q12" s="265"/>
      <c r="R12" s="265" t="str">
        <f>IF(AND('Mapa final'!$H$70="Muy Alta",'Mapa final'!$L$70="Menor"),CONCATENATE("R",'Mapa final'!$A$70),"")</f>
        <v/>
      </c>
      <c r="S12" s="265"/>
      <c r="T12" s="265" t="str">
        <f>IF(AND('Mapa final'!$H$76="Muy Alta",'Mapa final'!$L$76="Menor"),CONCATENATE("R",'Mapa final'!$A$76),"")</f>
        <v/>
      </c>
      <c r="U12" s="266"/>
      <c r="V12" s="264" t="str">
        <f>IF(AND('Mapa final'!$H$64="Muy Alta",'Mapa final'!$L$64="Moderado"),CONCATENATE("R",'Mapa final'!$A$64),"")</f>
        <v/>
      </c>
      <c r="W12" s="265"/>
      <c r="X12" s="265" t="str">
        <f>IF(AND('Mapa final'!$H$70="Muy Alta",'Mapa final'!$L$70="Moderado"),CONCATENATE("R",'Mapa final'!$A$70),"")</f>
        <v/>
      </c>
      <c r="Y12" s="265"/>
      <c r="Z12" s="265" t="str">
        <f>IF(AND('Mapa final'!$H$76="Muy Alta",'Mapa final'!$L$76="Moderado"),CONCATENATE("R",'Mapa final'!$A$76),"")</f>
        <v/>
      </c>
      <c r="AA12" s="266"/>
      <c r="AB12" s="264" t="str">
        <f>IF(AND('Mapa final'!$H$64="Muy Alta",'Mapa final'!$L$64="Mayor"),CONCATENATE("R",'Mapa final'!$A$64),"")</f>
        <v/>
      </c>
      <c r="AC12" s="265"/>
      <c r="AD12" s="265" t="str">
        <f>IF(AND('Mapa final'!$H$70="Muy Alta",'Mapa final'!$L$70="Mayor"),CONCATENATE("R",'Mapa final'!$A$70),"")</f>
        <v/>
      </c>
      <c r="AE12" s="265"/>
      <c r="AF12" s="265" t="str">
        <f>IF(AND('Mapa final'!$H$76="Muy Alta",'Mapa final'!$L$76="Mayor"),CONCATENATE("R",'Mapa final'!$A$76),"")</f>
        <v/>
      </c>
      <c r="AG12" s="266"/>
      <c r="AH12" s="255" t="str">
        <f>IF(AND('Mapa final'!$H$64="Muy Alta",'Mapa final'!$L$64="Catastrófico"),CONCATENATE("R",'Mapa final'!$A$64),"")</f>
        <v/>
      </c>
      <c r="AI12" s="256"/>
      <c r="AJ12" s="256" t="str">
        <f>IF(AND('Mapa final'!$H$70="Muy Alta",'Mapa final'!$L$70="Catastrófico"),CONCATENATE("R",'Mapa final'!$A$70),"")</f>
        <v/>
      </c>
      <c r="AK12" s="256"/>
      <c r="AL12" s="256" t="str">
        <f>IF(AND('Mapa final'!$H$76="Muy Alta",'Mapa final'!$L$76="Catastrófico"),CONCATENATE("R",'Mapa final'!$A$76),"")</f>
        <v/>
      </c>
      <c r="AM12" s="257"/>
      <c r="AN12" s="97"/>
      <c r="AO12" s="289"/>
      <c r="AP12" s="290"/>
      <c r="AQ12" s="290"/>
      <c r="AR12" s="290"/>
      <c r="AS12" s="290"/>
      <c r="AT12" s="291"/>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5">
      <c r="A13" s="97"/>
      <c r="B13" s="284"/>
      <c r="C13" s="284"/>
      <c r="D13" s="285"/>
      <c r="E13" s="280"/>
      <c r="F13" s="281"/>
      <c r="G13" s="281"/>
      <c r="H13" s="281"/>
      <c r="I13" s="282"/>
      <c r="J13" s="264"/>
      <c r="K13" s="265"/>
      <c r="L13" s="265"/>
      <c r="M13" s="265"/>
      <c r="N13" s="265"/>
      <c r="O13" s="266"/>
      <c r="P13" s="264"/>
      <c r="Q13" s="265"/>
      <c r="R13" s="265"/>
      <c r="S13" s="265"/>
      <c r="T13" s="265"/>
      <c r="U13" s="266"/>
      <c r="V13" s="264"/>
      <c r="W13" s="265"/>
      <c r="X13" s="265"/>
      <c r="Y13" s="265"/>
      <c r="Z13" s="265"/>
      <c r="AA13" s="266"/>
      <c r="AB13" s="264"/>
      <c r="AC13" s="265"/>
      <c r="AD13" s="265"/>
      <c r="AE13" s="265"/>
      <c r="AF13" s="265"/>
      <c r="AG13" s="266"/>
      <c r="AH13" s="258"/>
      <c r="AI13" s="259"/>
      <c r="AJ13" s="259"/>
      <c r="AK13" s="259"/>
      <c r="AL13" s="259"/>
      <c r="AM13" s="260"/>
      <c r="AN13" s="97"/>
      <c r="AO13" s="292"/>
      <c r="AP13" s="293"/>
      <c r="AQ13" s="293"/>
      <c r="AR13" s="293"/>
      <c r="AS13" s="293"/>
      <c r="AT13" s="294"/>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3">
      <c r="A14" s="97"/>
      <c r="B14" s="284"/>
      <c r="C14" s="284"/>
      <c r="D14" s="285"/>
      <c r="E14" s="274" t="s">
        <v>114</v>
      </c>
      <c r="F14" s="275"/>
      <c r="G14" s="275"/>
      <c r="H14" s="275"/>
      <c r="I14" s="275"/>
      <c r="J14" s="252" t="str">
        <f>IF(AND('Mapa final'!$H$10="Alta",'Mapa final'!$L$10="Leve"),CONCATENATE("R",'Mapa final'!$A$10),"")</f>
        <v/>
      </c>
      <c r="K14" s="253"/>
      <c r="L14" s="253" t="str">
        <f>IF(AND('Mapa final'!$H$16="Alta",'Mapa final'!$L$16="Leve"),CONCATENATE("R",'Mapa final'!$A$16),"")</f>
        <v/>
      </c>
      <c r="M14" s="253"/>
      <c r="N14" s="253" t="str">
        <f>IF(AND('Mapa final'!$H$22="Alta",'Mapa final'!$L$22="Leve"),CONCATENATE("R",'Mapa final'!$A$22),"")</f>
        <v/>
      </c>
      <c r="O14" s="254"/>
      <c r="P14" s="252" t="str">
        <f>IF(AND('Mapa final'!$H$10="Alta",'Mapa final'!$L$10="Menor"),CONCATENATE("R",'Mapa final'!$A$10),"")</f>
        <v/>
      </c>
      <c r="Q14" s="253"/>
      <c r="R14" s="253" t="str">
        <f>IF(AND('Mapa final'!$H$16="Alta",'Mapa final'!$L$16="Menor"),CONCATENATE("R",'Mapa final'!$A$16),"")</f>
        <v/>
      </c>
      <c r="S14" s="253"/>
      <c r="T14" s="253" t="str">
        <f>IF(AND('Mapa final'!$H$22="Alta",'Mapa final'!$L$22="Menor"),CONCATENATE("R",'Mapa final'!$A$22),"")</f>
        <v/>
      </c>
      <c r="U14" s="254"/>
      <c r="V14" s="270" t="str">
        <f>IF(AND('Mapa final'!$H$10="Alta",'Mapa final'!$L$10="Moderado"),CONCATENATE("R",'Mapa final'!$A$10),"")</f>
        <v/>
      </c>
      <c r="W14" s="271"/>
      <c r="X14" s="271" t="str">
        <f>IF(AND('Mapa final'!$H$16="Alta",'Mapa final'!$L$16="Moderado"),CONCATENATE("R",'Mapa final'!$A$16),"")</f>
        <v/>
      </c>
      <c r="Y14" s="271"/>
      <c r="Z14" s="271" t="str">
        <f>IF(AND('Mapa final'!$H$22="Alta",'Mapa final'!$L$22="Moderado"),CONCATENATE("R",'Mapa final'!$A$22),"")</f>
        <v/>
      </c>
      <c r="AA14" s="272"/>
      <c r="AB14" s="270" t="str">
        <f>IF(AND('Mapa final'!$H$10="Alta",'Mapa final'!$L$10="Mayor"),CONCATENATE("R",'Mapa final'!$A$10),"")</f>
        <v/>
      </c>
      <c r="AC14" s="271"/>
      <c r="AD14" s="271" t="str">
        <f>IF(AND('Mapa final'!$H$16="Alta",'Mapa final'!$L$16="Mayor"),CONCATENATE("R",'Mapa final'!$A$16),"")</f>
        <v/>
      </c>
      <c r="AE14" s="271"/>
      <c r="AF14" s="271" t="str">
        <f>IF(AND('Mapa final'!$H$22="Alta",'Mapa final'!$L$22="Mayor"),CONCATENATE("R",'Mapa final'!$A$22),"")</f>
        <v/>
      </c>
      <c r="AG14" s="272"/>
      <c r="AH14" s="261" t="str">
        <f>IF(AND('Mapa final'!$H$10="Alta",'Mapa final'!$L$10="Catastrófico"),CONCATENATE("R",'Mapa final'!$A$10),"")</f>
        <v/>
      </c>
      <c r="AI14" s="262"/>
      <c r="AJ14" s="262" t="str">
        <f>IF(AND('Mapa final'!$H$16="Alta",'Mapa final'!$L$16="Catastrófico"),CONCATENATE("R",'Mapa final'!$A$16),"")</f>
        <v/>
      </c>
      <c r="AK14" s="262"/>
      <c r="AL14" s="262" t="str">
        <f>IF(AND('Mapa final'!$H$22="Alta",'Mapa final'!$L$22="Catastrófico"),CONCATENATE("R",'Mapa final'!$A$22),"")</f>
        <v/>
      </c>
      <c r="AM14" s="263"/>
      <c r="AN14" s="97"/>
      <c r="AO14" s="295" t="s">
        <v>80</v>
      </c>
      <c r="AP14" s="296"/>
      <c r="AQ14" s="296"/>
      <c r="AR14" s="296"/>
      <c r="AS14" s="296"/>
      <c r="AT14" s="2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3">
      <c r="A15" s="97"/>
      <c r="B15" s="284"/>
      <c r="C15" s="284"/>
      <c r="D15" s="285"/>
      <c r="E15" s="277"/>
      <c r="F15" s="278"/>
      <c r="G15" s="278"/>
      <c r="H15" s="278"/>
      <c r="I15" s="278"/>
      <c r="J15" s="246"/>
      <c r="K15" s="247"/>
      <c r="L15" s="247"/>
      <c r="M15" s="247"/>
      <c r="N15" s="247"/>
      <c r="O15" s="248"/>
      <c r="P15" s="246"/>
      <c r="Q15" s="247"/>
      <c r="R15" s="247"/>
      <c r="S15" s="247"/>
      <c r="T15" s="247"/>
      <c r="U15" s="248"/>
      <c r="V15" s="264"/>
      <c r="W15" s="265"/>
      <c r="X15" s="265"/>
      <c r="Y15" s="265"/>
      <c r="Z15" s="265"/>
      <c r="AA15" s="266"/>
      <c r="AB15" s="264"/>
      <c r="AC15" s="265"/>
      <c r="AD15" s="265"/>
      <c r="AE15" s="265"/>
      <c r="AF15" s="265"/>
      <c r="AG15" s="266"/>
      <c r="AH15" s="255"/>
      <c r="AI15" s="256"/>
      <c r="AJ15" s="256"/>
      <c r="AK15" s="256"/>
      <c r="AL15" s="256"/>
      <c r="AM15" s="257"/>
      <c r="AN15" s="97"/>
      <c r="AO15" s="298"/>
      <c r="AP15" s="299"/>
      <c r="AQ15" s="299"/>
      <c r="AR15" s="299"/>
      <c r="AS15" s="299"/>
      <c r="AT15" s="300"/>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3">
      <c r="A16" s="97"/>
      <c r="B16" s="284"/>
      <c r="C16" s="284"/>
      <c r="D16" s="285"/>
      <c r="E16" s="277"/>
      <c r="F16" s="278"/>
      <c r="G16" s="278"/>
      <c r="H16" s="278"/>
      <c r="I16" s="278"/>
      <c r="J16" s="246" t="str">
        <f>IF(AND('Mapa final'!$H$28="Alta",'Mapa final'!$L$28="Leve"),CONCATENATE("R",'Mapa final'!$A$28),"")</f>
        <v/>
      </c>
      <c r="K16" s="247"/>
      <c r="L16" s="247" t="str">
        <f>IF(AND('Mapa final'!$H$34="Alta",'Mapa final'!$L$34="Leve"),CONCATENATE("R",'Mapa final'!$A$34),"")</f>
        <v/>
      </c>
      <c r="M16" s="247"/>
      <c r="N16" s="247" t="str">
        <f>IF(AND('Mapa final'!$H$40="Alta",'Mapa final'!$L$40="Leve"),CONCATENATE("R",'Mapa final'!$A$40),"")</f>
        <v/>
      </c>
      <c r="O16" s="248"/>
      <c r="P16" s="246" t="str">
        <f>IF(AND('Mapa final'!$H$28="Alta",'Mapa final'!$L$28="Menor"),CONCATENATE("R",'Mapa final'!$A$28),"")</f>
        <v/>
      </c>
      <c r="Q16" s="247"/>
      <c r="R16" s="247" t="str">
        <f>IF(AND('Mapa final'!$H$34="Alta",'Mapa final'!$L$34="Menor"),CONCATENATE("R",'Mapa final'!$A$34),"")</f>
        <v/>
      </c>
      <c r="S16" s="247"/>
      <c r="T16" s="247" t="str">
        <f>IF(AND('Mapa final'!$H$40="Alta",'Mapa final'!$L$40="Menor"),CONCATENATE("R",'Mapa final'!$A$40),"")</f>
        <v/>
      </c>
      <c r="U16" s="248"/>
      <c r="V16" s="264" t="str">
        <f>IF(AND('Mapa final'!$H$28="Alta",'Mapa final'!$L$28="Moderado"),CONCATENATE("R",'Mapa final'!$A$28),"")</f>
        <v/>
      </c>
      <c r="W16" s="265"/>
      <c r="X16" s="265" t="str">
        <f>IF(AND('Mapa final'!$H$34="Alta",'Mapa final'!$L$34="Moderado"),CONCATENATE("R",'Mapa final'!$A$34),"")</f>
        <v/>
      </c>
      <c r="Y16" s="265"/>
      <c r="Z16" s="265" t="str">
        <f>IF(AND('Mapa final'!$H$40="Alta",'Mapa final'!$L$40="Moderado"),CONCATENATE("R",'Mapa final'!$A$40),"")</f>
        <v/>
      </c>
      <c r="AA16" s="266"/>
      <c r="AB16" s="264" t="str">
        <f>IF(AND('Mapa final'!$H$28="Alta",'Mapa final'!$L$28="Mayor"),CONCATENATE("R",'Mapa final'!$A$28),"")</f>
        <v/>
      </c>
      <c r="AC16" s="265"/>
      <c r="AD16" s="265" t="str">
        <f>IF(AND('Mapa final'!$H$34="Alta",'Mapa final'!$L$34="Mayor"),CONCATENATE("R",'Mapa final'!$A$34),"")</f>
        <v/>
      </c>
      <c r="AE16" s="265"/>
      <c r="AF16" s="265" t="str">
        <f>IF(AND('Mapa final'!$H$40="Alta",'Mapa final'!$L$40="Mayor"),CONCATENATE("R",'Mapa final'!$A$40),"")</f>
        <v/>
      </c>
      <c r="AG16" s="266"/>
      <c r="AH16" s="255" t="str">
        <f>IF(AND('Mapa final'!$H$28="Alta",'Mapa final'!$L$28="Catastrófico"),CONCATENATE("R",'Mapa final'!$A$28),"")</f>
        <v/>
      </c>
      <c r="AI16" s="256"/>
      <c r="AJ16" s="256" t="str">
        <f>IF(AND('Mapa final'!$H$34="Alta",'Mapa final'!$L$34="Catastrófico"),CONCATENATE("R",'Mapa final'!$A$34),"")</f>
        <v/>
      </c>
      <c r="AK16" s="256"/>
      <c r="AL16" s="256" t="str">
        <f>IF(AND('Mapa final'!$H$40="Alta",'Mapa final'!$L$40="Catastrófico"),CONCATENATE("R",'Mapa final'!$A$40),"")</f>
        <v/>
      </c>
      <c r="AM16" s="257"/>
      <c r="AN16" s="97"/>
      <c r="AO16" s="298"/>
      <c r="AP16" s="299"/>
      <c r="AQ16" s="299"/>
      <c r="AR16" s="299"/>
      <c r="AS16" s="299"/>
      <c r="AT16" s="300"/>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3">
      <c r="A17" s="97"/>
      <c r="B17" s="284"/>
      <c r="C17" s="284"/>
      <c r="D17" s="285"/>
      <c r="E17" s="277"/>
      <c r="F17" s="278"/>
      <c r="G17" s="278"/>
      <c r="H17" s="278"/>
      <c r="I17" s="278"/>
      <c r="J17" s="246"/>
      <c r="K17" s="247"/>
      <c r="L17" s="247"/>
      <c r="M17" s="247"/>
      <c r="N17" s="247"/>
      <c r="O17" s="248"/>
      <c r="P17" s="246"/>
      <c r="Q17" s="247"/>
      <c r="R17" s="247"/>
      <c r="S17" s="247"/>
      <c r="T17" s="247"/>
      <c r="U17" s="248"/>
      <c r="V17" s="264"/>
      <c r="W17" s="265"/>
      <c r="X17" s="265"/>
      <c r="Y17" s="265"/>
      <c r="Z17" s="265"/>
      <c r="AA17" s="266"/>
      <c r="AB17" s="264"/>
      <c r="AC17" s="265"/>
      <c r="AD17" s="265"/>
      <c r="AE17" s="265"/>
      <c r="AF17" s="265"/>
      <c r="AG17" s="266"/>
      <c r="AH17" s="255"/>
      <c r="AI17" s="256"/>
      <c r="AJ17" s="256"/>
      <c r="AK17" s="256"/>
      <c r="AL17" s="256"/>
      <c r="AM17" s="257"/>
      <c r="AN17" s="97"/>
      <c r="AO17" s="298"/>
      <c r="AP17" s="299"/>
      <c r="AQ17" s="299"/>
      <c r="AR17" s="299"/>
      <c r="AS17" s="299"/>
      <c r="AT17" s="300"/>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3">
      <c r="A18" s="97"/>
      <c r="B18" s="284"/>
      <c r="C18" s="284"/>
      <c r="D18" s="285"/>
      <c r="E18" s="277"/>
      <c r="F18" s="278"/>
      <c r="G18" s="278"/>
      <c r="H18" s="278"/>
      <c r="I18" s="278"/>
      <c r="J18" s="246" t="str">
        <f>IF(AND('Mapa final'!$H$46="Alta",'Mapa final'!$L$46="Leve"),CONCATENATE("R",'Mapa final'!$A$46),"")</f>
        <v/>
      </c>
      <c r="K18" s="247"/>
      <c r="L18" s="247" t="str">
        <f>IF(AND('Mapa final'!$H$52="Alta",'Mapa final'!$L$52="Leve"),CONCATENATE("R",'Mapa final'!$A$52),"")</f>
        <v/>
      </c>
      <c r="M18" s="247"/>
      <c r="N18" s="247" t="str">
        <f>IF(AND('Mapa final'!$H$58="Alta",'Mapa final'!$L$58="Leve"),CONCATENATE("R",'Mapa final'!$A$58),"")</f>
        <v/>
      </c>
      <c r="O18" s="248"/>
      <c r="P18" s="246" t="str">
        <f>IF(AND('Mapa final'!$H$46="Alta",'Mapa final'!$L$46="Menor"),CONCATENATE("R",'Mapa final'!$A$46),"")</f>
        <v/>
      </c>
      <c r="Q18" s="247"/>
      <c r="R18" s="247" t="str">
        <f>IF(AND('Mapa final'!$H$52="Alta",'Mapa final'!$L$52="Menor"),CONCATENATE("R",'Mapa final'!$A$52),"")</f>
        <v/>
      </c>
      <c r="S18" s="247"/>
      <c r="T18" s="247" t="str">
        <f>IF(AND('Mapa final'!$H$58="Alta",'Mapa final'!$L$58="Menor"),CONCATENATE("R",'Mapa final'!$A$58),"")</f>
        <v/>
      </c>
      <c r="U18" s="248"/>
      <c r="V18" s="264" t="str">
        <f>IF(AND('Mapa final'!$H$46="Alta",'Mapa final'!$L$46="Moderado"),CONCATENATE("R",'Mapa final'!$A$46),"")</f>
        <v/>
      </c>
      <c r="W18" s="265"/>
      <c r="X18" s="265" t="str">
        <f>IF(AND('Mapa final'!$H$52="Alta",'Mapa final'!$L$52="Moderado"),CONCATENATE("R",'Mapa final'!$A$52),"")</f>
        <v/>
      </c>
      <c r="Y18" s="265"/>
      <c r="Z18" s="265" t="str">
        <f>IF(AND('Mapa final'!$H$58="Alta",'Mapa final'!$L$58="Moderado"),CONCATENATE("R",'Mapa final'!$A$58),"")</f>
        <v/>
      </c>
      <c r="AA18" s="266"/>
      <c r="AB18" s="264" t="str">
        <f>IF(AND('Mapa final'!$H$46="Alta",'Mapa final'!$L$46="Mayor"),CONCATENATE("R",'Mapa final'!$A$46),"")</f>
        <v/>
      </c>
      <c r="AC18" s="265"/>
      <c r="AD18" s="265" t="str">
        <f>IF(AND('Mapa final'!$H$52="Alta",'Mapa final'!$L$52="Mayor"),CONCATENATE("R",'Mapa final'!$A$52),"")</f>
        <v/>
      </c>
      <c r="AE18" s="265"/>
      <c r="AF18" s="265" t="str">
        <f>IF(AND('Mapa final'!$H$58="Alta",'Mapa final'!$L$58="Mayor"),CONCATENATE("R",'Mapa final'!$A$58),"")</f>
        <v/>
      </c>
      <c r="AG18" s="266"/>
      <c r="AH18" s="255" t="str">
        <f>IF(AND('Mapa final'!$H$46="Alta",'Mapa final'!$L$46="Catastrófico"),CONCATENATE("R",'Mapa final'!$A$46),"")</f>
        <v/>
      </c>
      <c r="AI18" s="256"/>
      <c r="AJ18" s="256" t="str">
        <f>IF(AND('Mapa final'!$H$52="Alta",'Mapa final'!$L$52="Catastrófico"),CONCATENATE("R",'Mapa final'!$A$52),"")</f>
        <v/>
      </c>
      <c r="AK18" s="256"/>
      <c r="AL18" s="256" t="str">
        <f>IF(AND('Mapa final'!$H$58="Alta",'Mapa final'!$L$58="Catastrófico"),CONCATENATE("R",'Mapa final'!$A$58),"")</f>
        <v/>
      </c>
      <c r="AM18" s="257"/>
      <c r="AN18" s="97"/>
      <c r="AO18" s="298"/>
      <c r="AP18" s="299"/>
      <c r="AQ18" s="299"/>
      <c r="AR18" s="299"/>
      <c r="AS18" s="299"/>
      <c r="AT18" s="300"/>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3">
      <c r="A19" s="97"/>
      <c r="B19" s="284"/>
      <c r="C19" s="284"/>
      <c r="D19" s="285"/>
      <c r="E19" s="277"/>
      <c r="F19" s="278"/>
      <c r="G19" s="278"/>
      <c r="H19" s="278"/>
      <c r="I19" s="278"/>
      <c r="J19" s="246"/>
      <c r="K19" s="247"/>
      <c r="L19" s="247"/>
      <c r="M19" s="247"/>
      <c r="N19" s="247"/>
      <c r="O19" s="248"/>
      <c r="P19" s="246"/>
      <c r="Q19" s="247"/>
      <c r="R19" s="247"/>
      <c r="S19" s="247"/>
      <c r="T19" s="247"/>
      <c r="U19" s="248"/>
      <c r="V19" s="264"/>
      <c r="W19" s="265"/>
      <c r="X19" s="265"/>
      <c r="Y19" s="265"/>
      <c r="Z19" s="265"/>
      <c r="AA19" s="266"/>
      <c r="AB19" s="264"/>
      <c r="AC19" s="265"/>
      <c r="AD19" s="265"/>
      <c r="AE19" s="265"/>
      <c r="AF19" s="265"/>
      <c r="AG19" s="266"/>
      <c r="AH19" s="255"/>
      <c r="AI19" s="256"/>
      <c r="AJ19" s="256"/>
      <c r="AK19" s="256"/>
      <c r="AL19" s="256"/>
      <c r="AM19" s="257"/>
      <c r="AN19" s="97"/>
      <c r="AO19" s="298"/>
      <c r="AP19" s="299"/>
      <c r="AQ19" s="299"/>
      <c r="AR19" s="299"/>
      <c r="AS19" s="299"/>
      <c r="AT19" s="300"/>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3">
      <c r="A20" s="97"/>
      <c r="B20" s="284"/>
      <c r="C20" s="284"/>
      <c r="D20" s="285"/>
      <c r="E20" s="277"/>
      <c r="F20" s="278"/>
      <c r="G20" s="278"/>
      <c r="H20" s="278"/>
      <c r="I20" s="278"/>
      <c r="J20" s="246" t="str">
        <f>IF(AND('Mapa final'!$H$64="Alta",'Mapa final'!$L$64="Leve"),CONCATENATE("R",'Mapa final'!$A$64),"")</f>
        <v/>
      </c>
      <c r="K20" s="247"/>
      <c r="L20" s="247" t="str">
        <f>IF(AND('Mapa final'!$H$70="Alta",'Mapa final'!$L$70="Leve"),CONCATENATE("R",'Mapa final'!$A$70),"")</f>
        <v/>
      </c>
      <c r="M20" s="247"/>
      <c r="N20" s="247" t="str">
        <f>IF(AND('Mapa final'!$H$76="Alta",'Mapa final'!$L$76="Leve"),CONCATENATE("R",'Mapa final'!$A$76),"")</f>
        <v/>
      </c>
      <c r="O20" s="248"/>
      <c r="P20" s="246" t="str">
        <f>IF(AND('Mapa final'!$H$64="Alta",'Mapa final'!$L$64="Menor"),CONCATENATE("R",'Mapa final'!$A$64),"")</f>
        <v/>
      </c>
      <c r="Q20" s="247"/>
      <c r="R20" s="247" t="str">
        <f>IF(AND('Mapa final'!$H$70="Alta",'Mapa final'!$L$70="Menor"),CONCATENATE("R",'Mapa final'!$A$70),"")</f>
        <v/>
      </c>
      <c r="S20" s="247"/>
      <c r="T20" s="247" t="str">
        <f>IF(AND('Mapa final'!$H$76="Alta",'Mapa final'!$L$76="Menor"),CONCATENATE("R",'Mapa final'!$A$76),"")</f>
        <v/>
      </c>
      <c r="U20" s="248"/>
      <c r="V20" s="264" t="str">
        <f>IF(AND('Mapa final'!$H$64="Alta",'Mapa final'!$L$64="Moderado"),CONCATENATE("R",'Mapa final'!$A$64),"")</f>
        <v/>
      </c>
      <c r="W20" s="265"/>
      <c r="X20" s="265" t="str">
        <f>IF(AND('Mapa final'!$H$70="Alta",'Mapa final'!$L$70="Moderado"),CONCATENATE("R",'Mapa final'!$A$70),"")</f>
        <v/>
      </c>
      <c r="Y20" s="265"/>
      <c r="Z20" s="265" t="str">
        <f>IF(AND('Mapa final'!$H$76="Alta",'Mapa final'!$L$76="Moderado"),CONCATENATE("R",'Mapa final'!$A$76),"")</f>
        <v/>
      </c>
      <c r="AA20" s="266"/>
      <c r="AB20" s="264" t="str">
        <f>IF(AND('Mapa final'!$H$64="Alta",'Mapa final'!$L$64="Mayor"),CONCATENATE("R",'Mapa final'!$A$64),"")</f>
        <v/>
      </c>
      <c r="AC20" s="265"/>
      <c r="AD20" s="265" t="str">
        <f>IF(AND('Mapa final'!$H$70="Alta",'Mapa final'!$L$70="Mayor"),CONCATENATE("R",'Mapa final'!$A$70),"")</f>
        <v/>
      </c>
      <c r="AE20" s="265"/>
      <c r="AF20" s="265" t="str">
        <f>IF(AND('Mapa final'!$H$76="Alta",'Mapa final'!$L$76="Mayor"),CONCATENATE("R",'Mapa final'!$A$76),"")</f>
        <v/>
      </c>
      <c r="AG20" s="266"/>
      <c r="AH20" s="255" t="str">
        <f>IF(AND('Mapa final'!$H$64="Alta",'Mapa final'!$L$64="Catastrófico"),CONCATENATE("R",'Mapa final'!$A$64),"")</f>
        <v/>
      </c>
      <c r="AI20" s="256"/>
      <c r="AJ20" s="256" t="str">
        <f>IF(AND('Mapa final'!$H$70="Alta",'Mapa final'!$L$70="Catastrófico"),CONCATENATE("R",'Mapa final'!$A$70),"")</f>
        <v/>
      </c>
      <c r="AK20" s="256"/>
      <c r="AL20" s="256" t="str">
        <f>IF(AND('Mapa final'!$H$76="Alta",'Mapa final'!$L$76="Catastrófico"),CONCATENATE("R",'Mapa final'!$A$76),"")</f>
        <v/>
      </c>
      <c r="AM20" s="257"/>
      <c r="AN20" s="97"/>
      <c r="AO20" s="298"/>
      <c r="AP20" s="299"/>
      <c r="AQ20" s="299"/>
      <c r="AR20" s="299"/>
      <c r="AS20" s="299"/>
      <c r="AT20" s="300"/>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5">
      <c r="A21" s="97"/>
      <c r="B21" s="284"/>
      <c r="C21" s="284"/>
      <c r="D21" s="285"/>
      <c r="E21" s="280"/>
      <c r="F21" s="281"/>
      <c r="G21" s="281"/>
      <c r="H21" s="281"/>
      <c r="I21" s="281"/>
      <c r="J21" s="249"/>
      <c r="K21" s="250"/>
      <c r="L21" s="250"/>
      <c r="M21" s="250"/>
      <c r="N21" s="250"/>
      <c r="O21" s="251"/>
      <c r="P21" s="249"/>
      <c r="Q21" s="250"/>
      <c r="R21" s="250"/>
      <c r="S21" s="250"/>
      <c r="T21" s="250"/>
      <c r="U21" s="251"/>
      <c r="V21" s="267"/>
      <c r="W21" s="268"/>
      <c r="X21" s="268"/>
      <c r="Y21" s="268"/>
      <c r="Z21" s="268"/>
      <c r="AA21" s="269"/>
      <c r="AB21" s="267"/>
      <c r="AC21" s="268"/>
      <c r="AD21" s="268"/>
      <c r="AE21" s="268"/>
      <c r="AF21" s="268"/>
      <c r="AG21" s="269"/>
      <c r="AH21" s="258"/>
      <c r="AI21" s="259"/>
      <c r="AJ21" s="259"/>
      <c r="AK21" s="259"/>
      <c r="AL21" s="259"/>
      <c r="AM21" s="260"/>
      <c r="AN21" s="97"/>
      <c r="AO21" s="301"/>
      <c r="AP21" s="302"/>
      <c r="AQ21" s="302"/>
      <c r="AR21" s="302"/>
      <c r="AS21" s="302"/>
      <c r="AT21" s="303"/>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3">
      <c r="A22" s="97"/>
      <c r="B22" s="284"/>
      <c r="C22" s="284"/>
      <c r="D22" s="285"/>
      <c r="E22" s="274" t="s">
        <v>116</v>
      </c>
      <c r="F22" s="275"/>
      <c r="G22" s="275"/>
      <c r="H22" s="275"/>
      <c r="I22" s="276"/>
      <c r="J22" s="252" t="str">
        <f>IF(AND('Mapa final'!$H$10="Media",'Mapa final'!$L$10="Leve"),CONCATENATE("R",'Mapa final'!$A$10),"")</f>
        <v/>
      </c>
      <c r="K22" s="253"/>
      <c r="L22" s="253" t="str">
        <f>IF(AND('Mapa final'!$H$16="Media",'Mapa final'!$L$16="Leve"),CONCATENATE("R",'Mapa final'!$A$16),"")</f>
        <v/>
      </c>
      <c r="M22" s="253"/>
      <c r="N22" s="253" t="str">
        <f>IF(AND('Mapa final'!$H$22="Media",'Mapa final'!$L$22="Leve"),CONCATENATE("R",'Mapa final'!$A$22),"")</f>
        <v/>
      </c>
      <c r="O22" s="254"/>
      <c r="P22" s="252" t="str">
        <f>IF(AND('Mapa final'!$H$10="Media",'Mapa final'!$L$10="Menor"),CONCATENATE("R",'Mapa final'!$A$10),"")</f>
        <v>R1</v>
      </c>
      <c r="Q22" s="253"/>
      <c r="R22" s="253" t="str">
        <f>IF(AND('Mapa final'!$H$16="Media",'Mapa final'!$L$16="Menor"),CONCATENATE("R",'Mapa final'!$A$16),"")</f>
        <v/>
      </c>
      <c r="S22" s="253"/>
      <c r="T22" s="253" t="str">
        <f>IF(AND('Mapa final'!$H$22="Media",'Mapa final'!$L$22="Menor"),CONCATENATE("R",'Mapa final'!$A$22),"")</f>
        <v>R3</v>
      </c>
      <c r="U22" s="254"/>
      <c r="V22" s="252" t="str">
        <f>IF(AND('Mapa final'!$H$10="Media",'Mapa final'!$L$10="Moderado"),CONCATENATE("R",'Mapa final'!$A$10),"")</f>
        <v/>
      </c>
      <c r="W22" s="253"/>
      <c r="X22" s="253" t="str">
        <f>IF(AND('Mapa final'!$H$16="Media",'Mapa final'!$L$16="Moderado"),CONCATENATE("R",'Mapa final'!$A$16),"")</f>
        <v>R2</v>
      </c>
      <c r="Y22" s="253"/>
      <c r="Z22" s="253" t="str">
        <f>IF(AND('Mapa final'!$H$22="Media",'Mapa final'!$L$22="Moderado"),CONCATENATE("R",'Mapa final'!$A$22),"")</f>
        <v/>
      </c>
      <c r="AA22" s="254"/>
      <c r="AB22" s="270" t="str">
        <f>IF(AND('Mapa final'!$H$10="Media",'Mapa final'!$L$10="Mayor"),CONCATENATE("R",'Mapa final'!$A$10),"")</f>
        <v/>
      </c>
      <c r="AC22" s="271"/>
      <c r="AD22" s="271" t="str">
        <f>IF(AND('Mapa final'!$H$16="Media",'Mapa final'!$L$16="Mayor"),CONCATENATE("R",'Mapa final'!$A$16),"")</f>
        <v/>
      </c>
      <c r="AE22" s="271"/>
      <c r="AF22" s="271" t="str">
        <f>IF(AND('Mapa final'!$H$22="Media",'Mapa final'!$L$22="Mayor"),CONCATENATE("R",'Mapa final'!$A$22),"")</f>
        <v/>
      </c>
      <c r="AG22" s="272"/>
      <c r="AH22" s="261" t="str">
        <f>IF(AND('Mapa final'!$H$10="Media",'Mapa final'!$L$10="Catastrófico"),CONCATENATE("R",'Mapa final'!$A$10),"")</f>
        <v/>
      </c>
      <c r="AI22" s="262"/>
      <c r="AJ22" s="262" t="str">
        <f>IF(AND('Mapa final'!$H$16="Media",'Mapa final'!$L$16="Catastrófico"),CONCATENATE("R",'Mapa final'!$A$16),"")</f>
        <v/>
      </c>
      <c r="AK22" s="262"/>
      <c r="AL22" s="262" t="str">
        <f>IF(AND('Mapa final'!$H$22="Media",'Mapa final'!$L$22="Catastrófico"),CONCATENATE("R",'Mapa final'!$A$22),"")</f>
        <v/>
      </c>
      <c r="AM22" s="263"/>
      <c r="AN22" s="97"/>
      <c r="AO22" s="304" t="s">
        <v>81</v>
      </c>
      <c r="AP22" s="305"/>
      <c r="AQ22" s="305"/>
      <c r="AR22" s="305"/>
      <c r="AS22" s="305"/>
      <c r="AT22" s="30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3">
      <c r="A23" s="97"/>
      <c r="B23" s="284"/>
      <c r="C23" s="284"/>
      <c r="D23" s="285"/>
      <c r="E23" s="277"/>
      <c r="F23" s="278"/>
      <c r="G23" s="278"/>
      <c r="H23" s="278"/>
      <c r="I23" s="279"/>
      <c r="J23" s="246"/>
      <c r="K23" s="247"/>
      <c r="L23" s="247"/>
      <c r="M23" s="247"/>
      <c r="N23" s="247"/>
      <c r="O23" s="248"/>
      <c r="P23" s="246"/>
      <c r="Q23" s="247"/>
      <c r="R23" s="247"/>
      <c r="S23" s="247"/>
      <c r="T23" s="247"/>
      <c r="U23" s="248"/>
      <c r="V23" s="246"/>
      <c r="W23" s="247"/>
      <c r="X23" s="247"/>
      <c r="Y23" s="247"/>
      <c r="Z23" s="247"/>
      <c r="AA23" s="248"/>
      <c r="AB23" s="264"/>
      <c r="AC23" s="265"/>
      <c r="AD23" s="265"/>
      <c r="AE23" s="265"/>
      <c r="AF23" s="265"/>
      <c r="AG23" s="266"/>
      <c r="AH23" s="255"/>
      <c r="AI23" s="256"/>
      <c r="AJ23" s="256"/>
      <c r="AK23" s="256"/>
      <c r="AL23" s="256"/>
      <c r="AM23" s="257"/>
      <c r="AN23" s="97"/>
      <c r="AO23" s="307"/>
      <c r="AP23" s="308"/>
      <c r="AQ23" s="308"/>
      <c r="AR23" s="308"/>
      <c r="AS23" s="308"/>
      <c r="AT23" s="309"/>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3">
      <c r="A24" s="97"/>
      <c r="B24" s="284"/>
      <c r="C24" s="284"/>
      <c r="D24" s="285"/>
      <c r="E24" s="277"/>
      <c r="F24" s="278"/>
      <c r="G24" s="278"/>
      <c r="H24" s="278"/>
      <c r="I24" s="279"/>
      <c r="J24" s="246" t="str">
        <f>IF(AND('Mapa final'!$H$28="Media",'Mapa final'!$L$28="Leve"),CONCATENATE("R",'Mapa final'!$A$28),"")</f>
        <v/>
      </c>
      <c r="K24" s="247"/>
      <c r="L24" s="247" t="str">
        <f>IF(AND('Mapa final'!$H$34="Media",'Mapa final'!$L$34="Leve"),CONCATENATE("R",'Mapa final'!$A$34),"")</f>
        <v/>
      </c>
      <c r="M24" s="247"/>
      <c r="N24" s="247" t="str">
        <f>IF(AND('Mapa final'!$H$40="Media",'Mapa final'!$L$40="Leve"),CONCATENATE("R",'Mapa final'!$A$40),"")</f>
        <v/>
      </c>
      <c r="O24" s="248"/>
      <c r="P24" s="246" t="str">
        <f>IF(AND('Mapa final'!$H$28="Media",'Mapa final'!$L$28="Menor"),CONCATENATE("R",'Mapa final'!$A$28),"")</f>
        <v/>
      </c>
      <c r="Q24" s="247"/>
      <c r="R24" s="247" t="str">
        <f>IF(AND('Mapa final'!$H$34="Media",'Mapa final'!$L$34="Menor"),CONCATENATE("R",'Mapa final'!$A$34),"")</f>
        <v/>
      </c>
      <c r="S24" s="247"/>
      <c r="T24" s="247" t="str">
        <f>IF(AND('Mapa final'!$H$40="Media",'Mapa final'!$L$40="Menor"),CONCATENATE("R",'Mapa final'!$A$40),"")</f>
        <v/>
      </c>
      <c r="U24" s="248"/>
      <c r="V24" s="246" t="str">
        <f>IF(AND('Mapa final'!$H$28="Media",'Mapa final'!$L$28="Moderado"),CONCATENATE("R",'Mapa final'!$A$28),"")</f>
        <v>R4</v>
      </c>
      <c r="W24" s="247"/>
      <c r="X24" s="247" t="str">
        <f>IF(AND('Mapa final'!$H$34="Media",'Mapa final'!$L$34="Moderado"),CONCATENATE("R",'Mapa final'!$A$34),"")</f>
        <v>R5</v>
      </c>
      <c r="Y24" s="247"/>
      <c r="Z24" s="247" t="str">
        <f>IF(AND('Mapa final'!$H$40="Media",'Mapa final'!$L$40="Moderado"),CONCATENATE("R",'Mapa final'!$A$40),"")</f>
        <v/>
      </c>
      <c r="AA24" s="248"/>
      <c r="AB24" s="264" t="str">
        <f>IF(AND('Mapa final'!$H$28="Media",'Mapa final'!$L$28="Mayor"),CONCATENATE("R",'Mapa final'!$A$28),"")</f>
        <v/>
      </c>
      <c r="AC24" s="265"/>
      <c r="AD24" s="265" t="str">
        <f>IF(AND('Mapa final'!$H$34="Media",'Mapa final'!$L$34="Mayor"),CONCATENATE("R",'Mapa final'!$A$34),"")</f>
        <v/>
      </c>
      <c r="AE24" s="265"/>
      <c r="AF24" s="265" t="str">
        <f>IF(AND('Mapa final'!$H$40="Media",'Mapa final'!$L$40="Mayor"),CONCATENATE("R",'Mapa final'!$A$40),"")</f>
        <v/>
      </c>
      <c r="AG24" s="266"/>
      <c r="AH24" s="255" t="str">
        <f>IF(AND('Mapa final'!$H$28="Media",'Mapa final'!$L$28="Catastrófico"),CONCATENATE("R",'Mapa final'!$A$28),"")</f>
        <v/>
      </c>
      <c r="AI24" s="256"/>
      <c r="AJ24" s="256" t="str">
        <f>IF(AND('Mapa final'!$H$34="Media",'Mapa final'!$L$34="Catastrófico"),CONCATENATE("R",'Mapa final'!$A$34),"")</f>
        <v/>
      </c>
      <c r="AK24" s="256"/>
      <c r="AL24" s="256" t="str">
        <f>IF(AND('Mapa final'!$H$40="Media",'Mapa final'!$L$40="Catastrófico"),CONCATENATE("R",'Mapa final'!$A$40),"")</f>
        <v/>
      </c>
      <c r="AM24" s="257"/>
      <c r="AN24" s="97"/>
      <c r="AO24" s="307"/>
      <c r="AP24" s="308"/>
      <c r="AQ24" s="308"/>
      <c r="AR24" s="308"/>
      <c r="AS24" s="308"/>
      <c r="AT24" s="309"/>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3">
      <c r="A25" s="97"/>
      <c r="B25" s="284"/>
      <c r="C25" s="284"/>
      <c r="D25" s="285"/>
      <c r="E25" s="277"/>
      <c r="F25" s="278"/>
      <c r="G25" s="278"/>
      <c r="H25" s="278"/>
      <c r="I25" s="279"/>
      <c r="J25" s="246"/>
      <c r="K25" s="247"/>
      <c r="L25" s="247"/>
      <c r="M25" s="247"/>
      <c r="N25" s="247"/>
      <c r="O25" s="248"/>
      <c r="P25" s="246"/>
      <c r="Q25" s="247"/>
      <c r="R25" s="247"/>
      <c r="S25" s="247"/>
      <c r="T25" s="247"/>
      <c r="U25" s="248"/>
      <c r="V25" s="246"/>
      <c r="W25" s="247"/>
      <c r="X25" s="247"/>
      <c r="Y25" s="247"/>
      <c r="Z25" s="247"/>
      <c r="AA25" s="248"/>
      <c r="AB25" s="264"/>
      <c r="AC25" s="265"/>
      <c r="AD25" s="265"/>
      <c r="AE25" s="265"/>
      <c r="AF25" s="265"/>
      <c r="AG25" s="266"/>
      <c r="AH25" s="255"/>
      <c r="AI25" s="256"/>
      <c r="AJ25" s="256"/>
      <c r="AK25" s="256"/>
      <c r="AL25" s="256"/>
      <c r="AM25" s="257"/>
      <c r="AN25" s="97"/>
      <c r="AO25" s="307"/>
      <c r="AP25" s="308"/>
      <c r="AQ25" s="308"/>
      <c r="AR25" s="308"/>
      <c r="AS25" s="308"/>
      <c r="AT25" s="30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3">
      <c r="A26" s="97"/>
      <c r="B26" s="284"/>
      <c r="C26" s="284"/>
      <c r="D26" s="285"/>
      <c r="E26" s="277"/>
      <c r="F26" s="278"/>
      <c r="G26" s="278"/>
      <c r="H26" s="278"/>
      <c r="I26" s="279"/>
      <c r="J26" s="246" t="str">
        <f>IF(AND('Mapa final'!$H$46="Media",'Mapa final'!$L$46="Leve"),CONCATENATE("R",'Mapa final'!$A$46),"")</f>
        <v/>
      </c>
      <c r="K26" s="247"/>
      <c r="L26" s="247" t="str">
        <f>IF(AND('Mapa final'!$H$52="Media",'Mapa final'!$L$52="Leve"),CONCATENATE("R",'Mapa final'!$A$52),"")</f>
        <v/>
      </c>
      <c r="M26" s="247"/>
      <c r="N26" s="247" t="str">
        <f>IF(AND('Mapa final'!$H$58="Media",'Mapa final'!$L$58="Leve"),CONCATENATE("R",'Mapa final'!$A$58),"")</f>
        <v/>
      </c>
      <c r="O26" s="248"/>
      <c r="P26" s="246" t="str">
        <f>IF(AND('Mapa final'!$H$46="Media",'Mapa final'!$L$46="Menor"),CONCATENATE("R",'Mapa final'!$A$46),"")</f>
        <v/>
      </c>
      <c r="Q26" s="247"/>
      <c r="R26" s="247" t="str">
        <f>IF(AND('Mapa final'!$H$52="Media",'Mapa final'!$L$52="Menor"),CONCATENATE("R",'Mapa final'!$A$52),"")</f>
        <v/>
      </c>
      <c r="S26" s="247"/>
      <c r="T26" s="247" t="str">
        <f>IF(AND('Mapa final'!$H$58="Media",'Mapa final'!$L$58="Menor"),CONCATENATE("R",'Mapa final'!$A$58),"")</f>
        <v/>
      </c>
      <c r="U26" s="248"/>
      <c r="V26" s="246" t="str">
        <f>IF(AND('Mapa final'!$H$46="Media",'Mapa final'!$L$46="Moderado"),CONCATENATE("R",'Mapa final'!$A$46),"")</f>
        <v/>
      </c>
      <c r="W26" s="247"/>
      <c r="X26" s="247" t="str">
        <f>IF(AND('Mapa final'!$H$52="Media",'Mapa final'!$L$52="Moderado"),CONCATENATE("R",'Mapa final'!$A$52),"")</f>
        <v/>
      </c>
      <c r="Y26" s="247"/>
      <c r="Z26" s="247" t="str">
        <f>IF(AND('Mapa final'!$H$58="Media",'Mapa final'!$L$58="Moderado"),CONCATENATE("R",'Mapa final'!$A$58),"")</f>
        <v/>
      </c>
      <c r="AA26" s="248"/>
      <c r="AB26" s="264" t="str">
        <f>IF(AND('Mapa final'!$H$46="Media",'Mapa final'!$L$46="Mayor"),CONCATENATE("R",'Mapa final'!$A$46),"")</f>
        <v/>
      </c>
      <c r="AC26" s="265"/>
      <c r="AD26" s="265" t="str">
        <f>IF(AND('Mapa final'!$H$52="Media",'Mapa final'!$L$52="Mayor"),CONCATENATE("R",'Mapa final'!$A$52),"")</f>
        <v/>
      </c>
      <c r="AE26" s="265"/>
      <c r="AF26" s="265" t="str">
        <f>IF(AND('Mapa final'!$H$58="Media",'Mapa final'!$L$58="Mayor"),CONCATENATE("R",'Mapa final'!$A$58),"")</f>
        <v/>
      </c>
      <c r="AG26" s="266"/>
      <c r="AH26" s="255" t="str">
        <f>IF(AND('Mapa final'!$H$46="Media",'Mapa final'!$L$46="Catastrófico"),CONCATENATE("R",'Mapa final'!$A$46),"")</f>
        <v/>
      </c>
      <c r="AI26" s="256"/>
      <c r="AJ26" s="256" t="str">
        <f>IF(AND('Mapa final'!$H$52="Media",'Mapa final'!$L$52="Catastrófico"),CONCATENATE("R",'Mapa final'!$A$52),"")</f>
        <v/>
      </c>
      <c r="AK26" s="256"/>
      <c r="AL26" s="256" t="str">
        <f>IF(AND('Mapa final'!$H$58="Media",'Mapa final'!$L$58="Catastrófico"),CONCATENATE("R",'Mapa final'!$A$58),"")</f>
        <v/>
      </c>
      <c r="AM26" s="257"/>
      <c r="AN26" s="97"/>
      <c r="AO26" s="307"/>
      <c r="AP26" s="308"/>
      <c r="AQ26" s="308"/>
      <c r="AR26" s="308"/>
      <c r="AS26" s="308"/>
      <c r="AT26" s="309"/>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3">
      <c r="A27" s="97"/>
      <c r="B27" s="284"/>
      <c r="C27" s="284"/>
      <c r="D27" s="285"/>
      <c r="E27" s="277"/>
      <c r="F27" s="278"/>
      <c r="G27" s="278"/>
      <c r="H27" s="278"/>
      <c r="I27" s="279"/>
      <c r="J27" s="246"/>
      <c r="K27" s="247"/>
      <c r="L27" s="247"/>
      <c r="M27" s="247"/>
      <c r="N27" s="247"/>
      <c r="O27" s="248"/>
      <c r="P27" s="246"/>
      <c r="Q27" s="247"/>
      <c r="R27" s="247"/>
      <c r="S27" s="247"/>
      <c r="T27" s="247"/>
      <c r="U27" s="248"/>
      <c r="V27" s="246"/>
      <c r="W27" s="247"/>
      <c r="X27" s="247"/>
      <c r="Y27" s="247"/>
      <c r="Z27" s="247"/>
      <c r="AA27" s="248"/>
      <c r="AB27" s="264"/>
      <c r="AC27" s="265"/>
      <c r="AD27" s="265"/>
      <c r="AE27" s="265"/>
      <c r="AF27" s="265"/>
      <c r="AG27" s="266"/>
      <c r="AH27" s="255"/>
      <c r="AI27" s="256"/>
      <c r="AJ27" s="256"/>
      <c r="AK27" s="256"/>
      <c r="AL27" s="256"/>
      <c r="AM27" s="257"/>
      <c r="AN27" s="97"/>
      <c r="AO27" s="307"/>
      <c r="AP27" s="308"/>
      <c r="AQ27" s="308"/>
      <c r="AR27" s="308"/>
      <c r="AS27" s="308"/>
      <c r="AT27" s="309"/>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3">
      <c r="A28" s="97"/>
      <c r="B28" s="284"/>
      <c r="C28" s="284"/>
      <c r="D28" s="285"/>
      <c r="E28" s="277"/>
      <c r="F28" s="278"/>
      <c r="G28" s="278"/>
      <c r="H28" s="278"/>
      <c r="I28" s="279"/>
      <c r="J28" s="246" t="str">
        <f>IF(AND('Mapa final'!$H$64="Media",'Mapa final'!$L$64="Leve"),CONCATENATE("R",'Mapa final'!$A$64),"")</f>
        <v/>
      </c>
      <c r="K28" s="247"/>
      <c r="L28" s="247" t="str">
        <f>IF(AND('Mapa final'!$H$70="Media",'Mapa final'!$L$70="Leve"),CONCATENATE("R",'Mapa final'!$A$70),"")</f>
        <v/>
      </c>
      <c r="M28" s="247"/>
      <c r="N28" s="247" t="str">
        <f>IF(AND('Mapa final'!$H$76="Media",'Mapa final'!$L$76="Leve"),CONCATENATE("R",'Mapa final'!$A$76),"")</f>
        <v/>
      </c>
      <c r="O28" s="248"/>
      <c r="P28" s="246" t="str">
        <f>IF(AND('Mapa final'!$H$64="Media",'Mapa final'!$L$64="Menor"),CONCATENATE("R",'Mapa final'!$A$64),"")</f>
        <v/>
      </c>
      <c r="Q28" s="247"/>
      <c r="R28" s="247" t="str">
        <f>IF(AND('Mapa final'!$H$70="Media",'Mapa final'!$L$70="Menor"),CONCATENATE("R",'Mapa final'!$A$70),"")</f>
        <v/>
      </c>
      <c r="S28" s="247"/>
      <c r="T28" s="247" t="str">
        <f>IF(AND('Mapa final'!$H$76="Media",'Mapa final'!$L$76="Menor"),CONCATENATE("R",'Mapa final'!$A$76),"")</f>
        <v/>
      </c>
      <c r="U28" s="248"/>
      <c r="V28" s="246" t="str">
        <f>IF(AND('Mapa final'!$H$64="Media",'Mapa final'!$L$64="Moderado"),CONCATENATE("R",'Mapa final'!$A$64),"")</f>
        <v/>
      </c>
      <c r="W28" s="247"/>
      <c r="X28" s="247" t="str">
        <f>IF(AND('Mapa final'!$H$70="Media",'Mapa final'!$L$70="Moderado"),CONCATENATE("R",'Mapa final'!$A$70),"")</f>
        <v/>
      </c>
      <c r="Y28" s="247"/>
      <c r="Z28" s="247" t="str">
        <f>IF(AND('Mapa final'!$H$76="Media",'Mapa final'!$L$76="Moderado"),CONCATENATE("R",'Mapa final'!$A$76),"")</f>
        <v/>
      </c>
      <c r="AA28" s="248"/>
      <c r="AB28" s="264" t="str">
        <f>IF(AND('Mapa final'!$H$64="Media",'Mapa final'!$L$64="Mayor"),CONCATENATE("R",'Mapa final'!$A$64),"")</f>
        <v/>
      </c>
      <c r="AC28" s="265"/>
      <c r="AD28" s="265" t="str">
        <f>IF(AND('Mapa final'!$H$70="Media",'Mapa final'!$L$70="Mayor"),CONCATENATE("R",'Mapa final'!$A$70),"")</f>
        <v/>
      </c>
      <c r="AE28" s="265"/>
      <c r="AF28" s="265" t="str">
        <f>IF(AND('Mapa final'!$H$76="Media",'Mapa final'!$L$76="Mayor"),CONCATENATE("R",'Mapa final'!$A$76),"")</f>
        <v/>
      </c>
      <c r="AG28" s="266"/>
      <c r="AH28" s="255" t="str">
        <f>IF(AND('Mapa final'!$H$64="Media",'Mapa final'!$L$64="Catastrófico"),CONCATENATE("R",'Mapa final'!$A$64),"")</f>
        <v/>
      </c>
      <c r="AI28" s="256"/>
      <c r="AJ28" s="256" t="str">
        <f>IF(AND('Mapa final'!$H$70="Media",'Mapa final'!$L$70="Catastrófico"),CONCATENATE("R",'Mapa final'!$A$70),"")</f>
        <v/>
      </c>
      <c r="AK28" s="256"/>
      <c r="AL28" s="256" t="str">
        <f>IF(AND('Mapa final'!$H$76="Media",'Mapa final'!$L$76="Catastrófico"),CONCATENATE("R",'Mapa final'!$A$76),"")</f>
        <v/>
      </c>
      <c r="AM28" s="257"/>
      <c r="AN28" s="97"/>
      <c r="AO28" s="307"/>
      <c r="AP28" s="308"/>
      <c r="AQ28" s="308"/>
      <c r="AR28" s="308"/>
      <c r="AS28" s="308"/>
      <c r="AT28" s="309"/>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 thickBot="1" x14ac:dyDescent="0.35">
      <c r="A29" s="97"/>
      <c r="B29" s="284"/>
      <c r="C29" s="284"/>
      <c r="D29" s="285"/>
      <c r="E29" s="280"/>
      <c r="F29" s="281"/>
      <c r="G29" s="281"/>
      <c r="H29" s="281"/>
      <c r="I29" s="282"/>
      <c r="J29" s="246"/>
      <c r="K29" s="247"/>
      <c r="L29" s="247"/>
      <c r="M29" s="247"/>
      <c r="N29" s="247"/>
      <c r="O29" s="248"/>
      <c r="P29" s="249"/>
      <c r="Q29" s="250"/>
      <c r="R29" s="250"/>
      <c r="S29" s="250"/>
      <c r="T29" s="250"/>
      <c r="U29" s="251"/>
      <c r="V29" s="249"/>
      <c r="W29" s="250"/>
      <c r="X29" s="250"/>
      <c r="Y29" s="250"/>
      <c r="Z29" s="250"/>
      <c r="AA29" s="251"/>
      <c r="AB29" s="267"/>
      <c r="AC29" s="268"/>
      <c r="AD29" s="268"/>
      <c r="AE29" s="268"/>
      <c r="AF29" s="268"/>
      <c r="AG29" s="269"/>
      <c r="AH29" s="258"/>
      <c r="AI29" s="259"/>
      <c r="AJ29" s="259"/>
      <c r="AK29" s="259"/>
      <c r="AL29" s="259"/>
      <c r="AM29" s="260"/>
      <c r="AN29" s="97"/>
      <c r="AO29" s="310"/>
      <c r="AP29" s="311"/>
      <c r="AQ29" s="311"/>
      <c r="AR29" s="311"/>
      <c r="AS29" s="311"/>
      <c r="AT29" s="312"/>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3">
      <c r="A30" s="97"/>
      <c r="B30" s="284"/>
      <c r="C30" s="284"/>
      <c r="D30" s="285"/>
      <c r="E30" s="274" t="s">
        <v>113</v>
      </c>
      <c r="F30" s="275"/>
      <c r="G30" s="275"/>
      <c r="H30" s="275"/>
      <c r="I30" s="275"/>
      <c r="J30" s="243" t="str">
        <f>IF(AND('Mapa final'!$H$10="Baja",'Mapa final'!$L$10="Leve"),CONCATENATE("R",'Mapa final'!$A$10),"")</f>
        <v/>
      </c>
      <c r="K30" s="244"/>
      <c r="L30" s="244" t="str">
        <f>IF(AND('Mapa final'!$H$16="Baja",'Mapa final'!$L$16="Leve"),CONCATENATE("R",'Mapa final'!$A$16),"")</f>
        <v/>
      </c>
      <c r="M30" s="244"/>
      <c r="N30" s="244" t="str">
        <f>IF(AND('Mapa final'!$H$22="Baja",'Mapa final'!$L$22="Leve"),CONCATENATE("R",'Mapa final'!$A$22),"")</f>
        <v/>
      </c>
      <c r="O30" s="245"/>
      <c r="P30" s="253" t="str">
        <f>IF(AND('Mapa final'!$H$10="Baja",'Mapa final'!$L$10="Menor"),CONCATENATE("R",'Mapa final'!$A$10),"")</f>
        <v/>
      </c>
      <c r="Q30" s="253"/>
      <c r="R30" s="253" t="str">
        <f>IF(AND('Mapa final'!$H$16="Baja",'Mapa final'!$L$16="Menor"),CONCATENATE("R",'Mapa final'!$A$16),"")</f>
        <v/>
      </c>
      <c r="S30" s="253"/>
      <c r="T30" s="253" t="str">
        <f>IF(AND('Mapa final'!$H$22="Baja",'Mapa final'!$L$22="Menor"),CONCATENATE("R",'Mapa final'!$A$22),"")</f>
        <v/>
      </c>
      <c r="U30" s="254"/>
      <c r="V30" s="252" t="str">
        <f>IF(AND('Mapa final'!$H$10="Baja",'Mapa final'!$L$10="Moderado"),CONCATENATE("R",'Mapa final'!$A$10),"")</f>
        <v/>
      </c>
      <c r="W30" s="253"/>
      <c r="X30" s="253" t="str">
        <f>IF(AND('Mapa final'!$H$16="Baja",'Mapa final'!$L$16="Moderado"),CONCATENATE("R",'Mapa final'!$A$16),"")</f>
        <v/>
      </c>
      <c r="Y30" s="253"/>
      <c r="Z30" s="253" t="str">
        <f>IF(AND('Mapa final'!$H$22="Baja",'Mapa final'!$L$22="Moderado"),CONCATENATE("R",'Mapa final'!$A$22),"")</f>
        <v/>
      </c>
      <c r="AA30" s="254"/>
      <c r="AB30" s="270" t="str">
        <f>IF(AND('Mapa final'!$H$10="Baja",'Mapa final'!$L$10="Mayor"),CONCATENATE("R",'Mapa final'!$A$10),"")</f>
        <v/>
      </c>
      <c r="AC30" s="271"/>
      <c r="AD30" s="271" t="str">
        <f>IF(AND('Mapa final'!$H$16="Baja",'Mapa final'!$L$16="Mayor"),CONCATENATE("R",'Mapa final'!$A$16),"")</f>
        <v/>
      </c>
      <c r="AE30" s="271"/>
      <c r="AF30" s="271" t="str">
        <f>IF(AND('Mapa final'!$H$22="Baja",'Mapa final'!$L$22="Mayor"),CONCATENATE("R",'Mapa final'!$A$22),"")</f>
        <v/>
      </c>
      <c r="AG30" s="272"/>
      <c r="AH30" s="261" t="str">
        <f>IF(AND('Mapa final'!$H$10="Baja",'Mapa final'!$L$10="Catastrófico"),CONCATENATE("R",'Mapa final'!$A$10),"")</f>
        <v/>
      </c>
      <c r="AI30" s="262"/>
      <c r="AJ30" s="262" t="str">
        <f>IF(AND('Mapa final'!$H$16="Baja",'Mapa final'!$L$16="Catastrófico"),CONCATENATE("R",'Mapa final'!$A$16),"")</f>
        <v/>
      </c>
      <c r="AK30" s="262"/>
      <c r="AL30" s="262" t="str">
        <f>IF(AND('Mapa final'!$H$22="Baja",'Mapa final'!$L$22="Catastrófico"),CONCATENATE("R",'Mapa final'!$A$22),"")</f>
        <v/>
      </c>
      <c r="AM30" s="263"/>
      <c r="AN30" s="97"/>
      <c r="AO30" s="313" t="s">
        <v>82</v>
      </c>
      <c r="AP30" s="314"/>
      <c r="AQ30" s="314"/>
      <c r="AR30" s="314"/>
      <c r="AS30" s="314"/>
      <c r="AT30" s="315"/>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3">
      <c r="A31" s="97"/>
      <c r="B31" s="284"/>
      <c r="C31" s="284"/>
      <c r="D31" s="285"/>
      <c r="E31" s="277"/>
      <c r="F31" s="278"/>
      <c r="G31" s="278"/>
      <c r="H31" s="278"/>
      <c r="I31" s="278"/>
      <c r="J31" s="237"/>
      <c r="K31" s="238"/>
      <c r="L31" s="238"/>
      <c r="M31" s="238"/>
      <c r="N31" s="238"/>
      <c r="O31" s="239"/>
      <c r="P31" s="247"/>
      <c r="Q31" s="247"/>
      <c r="R31" s="247"/>
      <c r="S31" s="247"/>
      <c r="T31" s="247"/>
      <c r="U31" s="248"/>
      <c r="V31" s="246"/>
      <c r="W31" s="247"/>
      <c r="X31" s="247"/>
      <c r="Y31" s="247"/>
      <c r="Z31" s="247"/>
      <c r="AA31" s="248"/>
      <c r="AB31" s="264"/>
      <c r="AC31" s="265"/>
      <c r="AD31" s="265"/>
      <c r="AE31" s="265"/>
      <c r="AF31" s="265"/>
      <c r="AG31" s="266"/>
      <c r="AH31" s="255"/>
      <c r="AI31" s="256"/>
      <c r="AJ31" s="256"/>
      <c r="AK31" s="256"/>
      <c r="AL31" s="256"/>
      <c r="AM31" s="257"/>
      <c r="AN31" s="97"/>
      <c r="AO31" s="316"/>
      <c r="AP31" s="317"/>
      <c r="AQ31" s="317"/>
      <c r="AR31" s="317"/>
      <c r="AS31" s="317"/>
      <c r="AT31" s="318"/>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3">
      <c r="A32" s="97"/>
      <c r="B32" s="284"/>
      <c r="C32" s="284"/>
      <c r="D32" s="285"/>
      <c r="E32" s="277"/>
      <c r="F32" s="278"/>
      <c r="G32" s="278"/>
      <c r="H32" s="278"/>
      <c r="I32" s="278"/>
      <c r="J32" s="237" t="str">
        <f>IF(AND('Mapa final'!$H$28="Baja",'Mapa final'!$L$28="Leve"),CONCATENATE("R",'Mapa final'!$A$28),"")</f>
        <v/>
      </c>
      <c r="K32" s="238"/>
      <c r="L32" s="238" t="str">
        <f>IF(AND('Mapa final'!$H$34="Baja",'Mapa final'!$L$34="Leve"),CONCATENATE("R",'Mapa final'!$A$34),"")</f>
        <v/>
      </c>
      <c r="M32" s="238"/>
      <c r="N32" s="238" t="str">
        <f>IF(AND('Mapa final'!$H$40="Baja",'Mapa final'!$L$40="Leve"),CONCATENATE("R",'Mapa final'!$A$40),"")</f>
        <v/>
      </c>
      <c r="O32" s="239"/>
      <c r="P32" s="247" t="str">
        <f>IF(AND('Mapa final'!$H$28="Baja",'Mapa final'!$L$28="Menor"),CONCATENATE("R",'Mapa final'!$A$28),"")</f>
        <v/>
      </c>
      <c r="Q32" s="247"/>
      <c r="R32" s="247" t="str">
        <f>IF(AND('Mapa final'!$H$34="Baja",'Mapa final'!$L$34="Menor"),CONCATENATE("R",'Mapa final'!$A$34),"")</f>
        <v/>
      </c>
      <c r="S32" s="247"/>
      <c r="T32" s="247" t="str">
        <f>IF(AND('Mapa final'!$H$40="Baja",'Mapa final'!$L$40="Menor"),CONCATENATE("R",'Mapa final'!$A$40),"")</f>
        <v/>
      </c>
      <c r="U32" s="248"/>
      <c r="V32" s="246" t="str">
        <f>IF(AND('Mapa final'!$H$28="Baja",'Mapa final'!$L$28="Moderado"),CONCATENATE("R",'Mapa final'!$A$28),"")</f>
        <v/>
      </c>
      <c r="W32" s="247"/>
      <c r="X32" s="247" t="str">
        <f>IF(AND('Mapa final'!$H$34="Baja",'Mapa final'!$L$34="Moderado"),CONCATENATE("R",'Mapa final'!$A$34),"")</f>
        <v/>
      </c>
      <c r="Y32" s="247"/>
      <c r="Z32" s="247" t="str">
        <f>IF(AND('Mapa final'!$H$40="Baja",'Mapa final'!$L$40="Moderado"),CONCATENATE("R",'Mapa final'!$A$40),"")</f>
        <v/>
      </c>
      <c r="AA32" s="248"/>
      <c r="AB32" s="264" t="str">
        <f>IF(AND('Mapa final'!$H$28="Baja",'Mapa final'!$L$28="Mayor"),CONCATENATE("R",'Mapa final'!$A$28),"")</f>
        <v/>
      </c>
      <c r="AC32" s="265"/>
      <c r="AD32" s="265" t="str">
        <f>IF(AND('Mapa final'!$H$34="Baja",'Mapa final'!$L$34="Mayor"),CONCATENATE("R",'Mapa final'!$A$34),"")</f>
        <v/>
      </c>
      <c r="AE32" s="265"/>
      <c r="AF32" s="265" t="str">
        <f>IF(AND('Mapa final'!$H$40="Baja",'Mapa final'!$L$40="Mayor"),CONCATENATE("R",'Mapa final'!$A$40),"")</f>
        <v/>
      </c>
      <c r="AG32" s="266"/>
      <c r="AH32" s="255" t="str">
        <f>IF(AND('Mapa final'!$H$28="Baja",'Mapa final'!$L$28="Catastrófico"),CONCATENATE("R",'Mapa final'!$A$28),"")</f>
        <v/>
      </c>
      <c r="AI32" s="256"/>
      <c r="AJ32" s="256" t="str">
        <f>IF(AND('Mapa final'!$H$34="Baja",'Mapa final'!$L$34="Catastrófico"),CONCATENATE("R",'Mapa final'!$A$34),"")</f>
        <v/>
      </c>
      <c r="AK32" s="256"/>
      <c r="AL32" s="256" t="str">
        <f>IF(AND('Mapa final'!$H$40="Baja",'Mapa final'!$L$40="Catastrófico"),CONCATENATE("R",'Mapa final'!$A$40),"")</f>
        <v/>
      </c>
      <c r="AM32" s="257"/>
      <c r="AN32" s="97"/>
      <c r="AO32" s="316"/>
      <c r="AP32" s="317"/>
      <c r="AQ32" s="317"/>
      <c r="AR32" s="317"/>
      <c r="AS32" s="317"/>
      <c r="AT32" s="318"/>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3">
      <c r="A33" s="97"/>
      <c r="B33" s="284"/>
      <c r="C33" s="284"/>
      <c r="D33" s="285"/>
      <c r="E33" s="277"/>
      <c r="F33" s="278"/>
      <c r="G33" s="278"/>
      <c r="H33" s="278"/>
      <c r="I33" s="278"/>
      <c r="J33" s="237"/>
      <c r="K33" s="238"/>
      <c r="L33" s="238"/>
      <c r="M33" s="238"/>
      <c r="N33" s="238"/>
      <c r="O33" s="239"/>
      <c r="P33" s="247"/>
      <c r="Q33" s="247"/>
      <c r="R33" s="247"/>
      <c r="S33" s="247"/>
      <c r="T33" s="247"/>
      <c r="U33" s="248"/>
      <c r="V33" s="246"/>
      <c r="W33" s="247"/>
      <c r="X33" s="247"/>
      <c r="Y33" s="247"/>
      <c r="Z33" s="247"/>
      <c r="AA33" s="248"/>
      <c r="AB33" s="264"/>
      <c r="AC33" s="265"/>
      <c r="AD33" s="265"/>
      <c r="AE33" s="265"/>
      <c r="AF33" s="265"/>
      <c r="AG33" s="266"/>
      <c r="AH33" s="255"/>
      <c r="AI33" s="256"/>
      <c r="AJ33" s="256"/>
      <c r="AK33" s="256"/>
      <c r="AL33" s="256"/>
      <c r="AM33" s="257"/>
      <c r="AN33" s="97"/>
      <c r="AO33" s="316"/>
      <c r="AP33" s="317"/>
      <c r="AQ33" s="317"/>
      <c r="AR33" s="317"/>
      <c r="AS33" s="317"/>
      <c r="AT33" s="318"/>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3">
      <c r="A34" s="97"/>
      <c r="B34" s="284"/>
      <c r="C34" s="284"/>
      <c r="D34" s="285"/>
      <c r="E34" s="277"/>
      <c r="F34" s="278"/>
      <c r="G34" s="278"/>
      <c r="H34" s="278"/>
      <c r="I34" s="278"/>
      <c r="J34" s="237" t="str">
        <f>IF(AND('Mapa final'!$H$46="Baja",'Mapa final'!$L$46="Leve"),CONCATENATE("R",'Mapa final'!$A$46),"")</f>
        <v/>
      </c>
      <c r="K34" s="238"/>
      <c r="L34" s="238" t="str">
        <f>IF(AND('Mapa final'!$H$52="Baja",'Mapa final'!$L$52="Leve"),CONCATENATE("R",'Mapa final'!$A$52),"")</f>
        <v/>
      </c>
      <c r="M34" s="238"/>
      <c r="N34" s="238" t="str">
        <f>IF(AND('Mapa final'!$H$58="Baja",'Mapa final'!$L$58="Leve"),CONCATENATE("R",'Mapa final'!$A$58),"")</f>
        <v/>
      </c>
      <c r="O34" s="239"/>
      <c r="P34" s="247" t="str">
        <f>IF(AND('Mapa final'!$H$46="Baja",'Mapa final'!$L$46="Menor"),CONCATENATE("R",'Mapa final'!$A$46),"")</f>
        <v/>
      </c>
      <c r="Q34" s="247"/>
      <c r="R34" s="247" t="str">
        <f>IF(AND('Mapa final'!$H$52="Baja",'Mapa final'!$L$52="Menor"),CONCATENATE("R",'Mapa final'!$A$52),"")</f>
        <v/>
      </c>
      <c r="S34" s="247"/>
      <c r="T34" s="247" t="str">
        <f>IF(AND('Mapa final'!$H$58="Baja",'Mapa final'!$L$58="Menor"),CONCATENATE("R",'Mapa final'!$A$58),"")</f>
        <v/>
      </c>
      <c r="U34" s="248"/>
      <c r="V34" s="246" t="str">
        <f>IF(AND('Mapa final'!$H$46="Baja",'Mapa final'!$L$46="Moderado"),CONCATENATE("R",'Mapa final'!$A$46),"")</f>
        <v/>
      </c>
      <c r="W34" s="247"/>
      <c r="X34" s="247" t="str">
        <f>IF(AND('Mapa final'!$H$52="Baja",'Mapa final'!$L$52="Moderado"),CONCATENATE("R",'Mapa final'!$A$52),"")</f>
        <v/>
      </c>
      <c r="Y34" s="247"/>
      <c r="Z34" s="247" t="str">
        <f>IF(AND('Mapa final'!$H$58="Baja",'Mapa final'!$L$58="Moderado"),CONCATENATE("R",'Mapa final'!$A$58),"")</f>
        <v/>
      </c>
      <c r="AA34" s="248"/>
      <c r="AB34" s="264" t="str">
        <f>IF(AND('Mapa final'!$H$46="Baja",'Mapa final'!$L$46="Mayor"),CONCATENATE("R",'Mapa final'!$A$46),"")</f>
        <v/>
      </c>
      <c r="AC34" s="265"/>
      <c r="AD34" s="265" t="str">
        <f>IF(AND('Mapa final'!$H$52="Baja",'Mapa final'!$L$52="Mayor"),CONCATENATE("R",'Mapa final'!$A$52),"")</f>
        <v/>
      </c>
      <c r="AE34" s="265"/>
      <c r="AF34" s="265" t="str">
        <f>IF(AND('Mapa final'!$H$58="Baja",'Mapa final'!$L$58="Mayor"),CONCATENATE("R",'Mapa final'!$A$58),"")</f>
        <v/>
      </c>
      <c r="AG34" s="266"/>
      <c r="AH34" s="255" t="str">
        <f>IF(AND('Mapa final'!$H$46="Baja",'Mapa final'!$L$46="Catastrófico"),CONCATENATE("R",'Mapa final'!$A$46),"")</f>
        <v/>
      </c>
      <c r="AI34" s="256"/>
      <c r="AJ34" s="256" t="str">
        <f>IF(AND('Mapa final'!$H$52="Baja",'Mapa final'!$L$52="Catastrófico"),CONCATENATE("R",'Mapa final'!$A$52),"")</f>
        <v/>
      </c>
      <c r="AK34" s="256"/>
      <c r="AL34" s="256" t="str">
        <f>IF(AND('Mapa final'!$H$58="Baja",'Mapa final'!$L$58="Catastrófico"),CONCATENATE("R",'Mapa final'!$A$58),"")</f>
        <v/>
      </c>
      <c r="AM34" s="257"/>
      <c r="AN34" s="97"/>
      <c r="AO34" s="316"/>
      <c r="AP34" s="317"/>
      <c r="AQ34" s="317"/>
      <c r="AR34" s="317"/>
      <c r="AS34" s="317"/>
      <c r="AT34" s="318"/>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3">
      <c r="A35" s="97"/>
      <c r="B35" s="284"/>
      <c r="C35" s="284"/>
      <c r="D35" s="285"/>
      <c r="E35" s="277"/>
      <c r="F35" s="278"/>
      <c r="G35" s="278"/>
      <c r="H35" s="278"/>
      <c r="I35" s="278"/>
      <c r="J35" s="237"/>
      <c r="K35" s="238"/>
      <c r="L35" s="238"/>
      <c r="M35" s="238"/>
      <c r="N35" s="238"/>
      <c r="O35" s="239"/>
      <c r="P35" s="247"/>
      <c r="Q35" s="247"/>
      <c r="R35" s="247"/>
      <c r="S35" s="247"/>
      <c r="T35" s="247"/>
      <c r="U35" s="248"/>
      <c r="V35" s="246"/>
      <c r="W35" s="247"/>
      <c r="X35" s="247"/>
      <c r="Y35" s="247"/>
      <c r="Z35" s="247"/>
      <c r="AA35" s="248"/>
      <c r="AB35" s="264"/>
      <c r="AC35" s="265"/>
      <c r="AD35" s="265"/>
      <c r="AE35" s="265"/>
      <c r="AF35" s="265"/>
      <c r="AG35" s="266"/>
      <c r="AH35" s="255"/>
      <c r="AI35" s="256"/>
      <c r="AJ35" s="256"/>
      <c r="AK35" s="256"/>
      <c r="AL35" s="256"/>
      <c r="AM35" s="257"/>
      <c r="AN35" s="97"/>
      <c r="AO35" s="316"/>
      <c r="AP35" s="317"/>
      <c r="AQ35" s="317"/>
      <c r="AR35" s="317"/>
      <c r="AS35" s="317"/>
      <c r="AT35" s="318"/>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3">
      <c r="A36" s="97"/>
      <c r="B36" s="284"/>
      <c r="C36" s="284"/>
      <c r="D36" s="285"/>
      <c r="E36" s="277"/>
      <c r="F36" s="278"/>
      <c r="G36" s="278"/>
      <c r="H36" s="278"/>
      <c r="I36" s="278"/>
      <c r="J36" s="237" t="str">
        <f>IF(AND('Mapa final'!$H$64="Baja",'Mapa final'!$L$64="Leve"),CONCATENATE("R",'Mapa final'!$A$64),"")</f>
        <v/>
      </c>
      <c r="K36" s="238"/>
      <c r="L36" s="238" t="str">
        <f>IF(AND('Mapa final'!$H$70="Baja",'Mapa final'!$L$70="Leve"),CONCATENATE("R",'Mapa final'!$A$70),"")</f>
        <v/>
      </c>
      <c r="M36" s="238"/>
      <c r="N36" s="238" t="str">
        <f>IF(AND('Mapa final'!$H$76="Baja",'Mapa final'!$L$76="Leve"),CONCATENATE("R",'Mapa final'!$A$76),"")</f>
        <v/>
      </c>
      <c r="O36" s="239"/>
      <c r="P36" s="247" t="str">
        <f>IF(AND('Mapa final'!$H$64="Baja",'Mapa final'!$L$64="Menor"),CONCATENATE("R",'Mapa final'!$A$64),"")</f>
        <v/>
      </c>
      <c r="Q36" s="247"/>
      <c r="R36" s="247" t="str">
        <f>IF(AND('Mapa final'!$H$70="Baja",'Mapa final'!$L$70="Menor"),CONCATENATE("R",'Mapa final'!$A$70),"")</f>
        <v/>
      </c>
      <c r="S36" s="247"/>
      <c r="T36" s="247" t="str">
        <f>IF(AND('Mapa final'!$H$76="Baja",'Mapa final'!$L$76="Menor"),CONCATENATE("R",'Mapa final'!$A$76),"")</f>
        <v/>
      </c>
      <c r="U36" s="248"/>
      <c r="V36" s="246" t="str">
        <f>IF(AND('Mapa final'!$H$64="Baja",'Mapa final'!$L$64="Moderado"),CONCATENATE("R",'Mapa final'!$A$64),"")</f>
        <v/>
      </c>
      <c r="W36" s="247"/>
      <c r="X36" s="247" t="str">
        <f>IF(AND('Mapa final'!$H$70="Baja",'Mapa final'!$L$70="Moderado"),CONCATENATE("R",'Mapa final'!$A$70),"")</f>
        <v/>
      </c>
      <c r="Y36" s="247"/>
      <c r="Z36" s="247" t="str">
        <f>IF(AND('Mapa final'!$H$76="Baja",'Mapa final'!$L$76="Moderado"),CONCATENATE("R",'Mapa final'!$A$76),"")</f>
        <v/>
      </c>
      <c r="AA36" s="248"/>
      <c r="AB36" s="264" t="str">
        <f>IF(AND('Mapa final'!$H$64="Baja",'Mapa final'!$L$64="Mayor"),CONCATENATE("R",'Mapa final'!$A$64),"")</f>
        <v/>
      </c>
      <c r="AC36" s="265"/>
      <c r="AD36" s="265" t="str">
        <f>IF(AND('Mapa final'!$H$70="Baja",'Mapa final'!$L$70="Mayor"),CONCATENATE("R",'Mapa final'!$A$70),"")</f>
        <v/>
      </c>
      <c r="AE36" s="265"/>
      <c r="AF36" s="265" t="str">
        <f>IF(AND('Mapa final'!$H$76="Baja",'Mapa final'!$L$76="Mayor"),CONCATENATE("R",'Mapa final'!$A$76),"")</f>
        <v/>
      </c>
      <c r="AG36" s="266"/>
      <c r="AH36" s="255" t="str">
        <f>IF(AND('Mapa final'!$H$64="Baja",'Mapa final'!$L$64="Catastrófico"),CONCATENATE("R",'Mapa final'!$A$64),"")</f>
        <v/>
      </c>
      <c r="AI36" s="256"/>
      <c r="AJ36" s="256" t="str">
        <f>IF(AND('Mapa final'!$H$70="Baja",'Mapa final'!$L$70="Catastrófico"),CONCATENATE("R",'Mapa final'!$A$70),"")</f>
        <v/>
      </c>
      <c r="AK36" s="256"/>
      <c r="AL36" s="256" t="str">
        <f>IF(AND('Mapa final'!$H$76="Baja",'Mapa final'!$L$76="Catastrófico"),CONCATENATE("R",'Mapa final'!$A$76),"")</f>
        <v/>
      </c>
      <c r="AM36" s="257"/>
      <c r="AN36" s="97"/>
      <c r="AO36" s="316"/>
      <c r="AP36" s="317"/>
      <c r="AQ36" s="317"/>
      <c r="AR36" s="317"/>
      <c r="AS36" s="317"/>
      <c r="AT36" s="318"/>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 thickBot="1" x14ac:dyDescent="0.35">
      <c r="A37" s="97"/>
      <c r="B37" s="284"/>
      <c r="C37" s="284"/>
      <c r="D37" s="285"/>
      <c r="E37" s="280"/>
      <c r="F37" s="281"/>
      <c r="G37" s="281"/>
      <c r="H37" s="281"/>
      <c r="I37" s="281"/>
      <c r="J37" s="240"/>
      <c r="K37" s="241"/>
      <c r="L37" s="241"/>
      <c r="M37" s="241"/>
      <c r="N37" s="241"/>
      <c r="O37" s="242"/>
      <c r="P37" s="250"/>
      <c r="Q37" s="250"/>
      <c r="R37" s="250"/>
      <c r="S37" s="250"/>
      <c r="T37" s="250"/>
      <c r="U37" s="251"/>
      <c r="V37" s="249"/>
      <c r="W37" s="250"/>
      <c r="X37" s="250"/>
      <c r="Y37" s="250"/>
      <c r="Z37" s="250"/>
      <c r="AA37" s="251"/>
      <c r="AB37" s="267"/>
      <c r="AC37" s="268"/>
      <c r="AD37" s="268"/>
      <c r="AE37" s="268"/>
      <c r="AF37" s="268"/>
      <c r="AG37" s="269"/>
      <c r="AH37" s="258"/>
      <c r="AI37" s="259"/>
      <c r="AJ37" s="259"/>
      <c r="AK37" s="259"/>
      <c r="AL37" s="259"/>
      <c r="AM37" s="260"/>
      <c r="AN37" s="97"/>
      <c r="AO37" s="319"/>
      <c r="AP37" s="320"/>
      <c r="AQ37" s="320"/>
      <c r="AR37" s="320"/>
      <c r="AS37" s="320"/>
      <c r="AT37" s="321"/>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3">
      <c r="A38" s="97"/>
      <c r="B38" s="284"/>
      <c r="C38" s="284"/>
      <c r="D38" s="285"/>
      <c r="E38" s="274" t="s">
        <v>112</v>
      </c>
      <c r="F38" s="275"/>
      <c r="G38" s="275"/>
      <c r="H38" s="275"/>
      <c r="I38" s="276"/>
      <c r="J38" s="243" t="str">
        <f>IF(AND('Mapa final'!$H$10="Muy Baja",'Mapa final'!$L$10="Leve"),CONCATENATE("R",'Mapa final'!$A$10),"")</f>
        <v/>
      </c>
      <c r="K38" s="244"/>
      <c r="L38" s="244" t="str">
        <f>IF(AND('Mapa final'!$H$16="Muy Baja",'Mapa final'!$L$16="Leve"),CONCATENATE("R",'Mapa final'!$A$16),"")</f>
        <v/>
      </c>
      <c r="M38" s="244"/>
      <c r="N38" s="244" t="str">
        <f>IF(AND('Mapa final'!$H$22="Muy Baja",'Mapa final'!$L$22="Leve"),CONCATENATE("R",'Mapa final'!$A$22),"")</f>
        <v/>
      </c>
      <c r="O38" s="245"/>
      <c r="P38" s="243" t="str">
        <f>IF(AND('Mapa final'!$H$10="Muy Baja",'Mapa final'!$L$10="Menor"),CONCATENATE("R",'Mapa final'!$A$10),"")</f>
        <v/>
      </c>
      <c r="Q38" s="244"/>
      <c r="R38" s="244" t="str">
        <f>IF(AND('Mapa final'!$H$16="Muy Baja",'Mapa final'!$L$16="Menor"),CONCATENATE("R",'Mapa final'!$A$16),"")</f>
        <v/>
      </c>
      <c r="S38" s="244"/>
      <c r="T38" s="244" t="str">
        <f>IF(AND('Mapa final'!$H$22="Muy Baja",'Mapa final'!$L$22="Menor"),CONCATENATE("R",'Mapa final'!$A$22),"")</f>
        <v/>
      </c>
      <c r="U38" s="245"/>
      <c r="V38" s="252" t="str">
        <f>IF(AND('Mapa final'!$H$10="Muy Baja",'Mapa final'!$L$10="Moderado"),CONCATENATE("R",'Mapa final'!$A$10),"")</f>
        <v/>
      </c>
      <c r="W38" s="253"/>
      <c r="X38" s="253" t="str">
        <f>IF(AND('Mapa final'!$H$16="Muy Baja",'Mapa final'!$L$16="Moderado"),CONCATENATE("R",'Mapa final'!$A$16),"")</f>
        <v/>
      </c>
      <c r="Y38" s="253"/>
      <c r="Z38" s="253" t="str">
        <f>IF(AND('Mapa final'!$H$22="Muy Baja",'Mapa final'!$L$22="Moderado"),CONCATENATE("R",'Mapa final'!$A$22),"")</f>
        <v/>
      </c>
      <c r="AA38" s="254"/>
      <c r="AB38" s="270" t="str">
        <f>IF(AND('Mapa final'!$H$10="Muy Baja",'Mapa final'!$L$10="Mayor"),CONCATENATE("R",'Mapa final'!$A$10),"")</f>
        <v/>
      </c>
      <c r="AC38" s="271"/>
      <c r="AD38" s="271" t="str">
        <f>IF(AND('Mapa final'!$H$16="Muy Baja",'Mapa final'!$L$16="Mayor"),CONCATENATE("R",'Mapa final'!$A$16),"")</f>
        <v/>
      </c>
      <c r="AE38" s="271"/>
      <c r="AF38" s="271" t="str">
        <f>IF(AND('Mapa final'!$H$22="Muy Baja",'Mapa final'!$L$22="Mayor"),CONCATENATE("R",'Mapa final'!$A$22),"")</f>
        <v/>
      </c>
      <c r="AG38" s="272"/>
      <c r="AH38" s="261" t="str">
        <f>IF(AND('Mapa final'!$H$10="Muy Baja",'Mapa final'!$L$10="Catastrófico"),CONCATENATE("R",'Mapa final'!$A$10),"")</f>
        <v/>
      </c>
      <c r="AI38" s="262"/>
      <c r="AJ38" s="262" t="str">
        <f>IF(AND('Mapa final'!$H$16="Muy Baja",'Mapa final'!$L$16="Catastrófico"),CONCATENATE("R",'Mapa final'!$A$16),"")</f>
        <v/>
      </c>
      <c r="AK38" s="262"/>
      <c r="AL38" s="262" t="str">
        <f>IF(AND('Mapa final'!$H$22="Muy Baja",'Mapa final'!$L$22="Catastrófico"),CONCATENATE("R",'Mapa final'!$A$22),"")</f>
        <v/>
      </c>
      <c r="AM38" s="263"/>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3">
      <c r="A39" s="97"/>
      <c r="B39" s="284"/>
      <c r="C39" s="284"/>
      <c r="D39" s="285"/>
      <c r="E39" s="277"/>
      <c r="F39" s="278"/>
      <c r="G39" s="278"/>
      <c r="H39" s="278"/>
      <c r="I39" s="279"/>
      <c r="J39" s="237"/>
      <c r="K39" s="238"/>
      <c r="L39" s="238"/>
      <c r="M39" s="238"/>
      <c r="N39" s="238"/>
      <c r="O39" s="239"/>
      <c r="P39" s="237"/>
      <c r="Q39" s="238"/>
      <c r="R39" s="238"/>
      <c r="S39" s="238"/>
      <c r="T39" s="238"/>
      <c r="U39" s="239"/>
      <c r="V39" s="246"/>
      <c r="W39" s="247"/>
      <c r="X39" s="247"/>
      <c r="Y39" s="247"/>
      <c r="Z39" s="247"/>
      <c r="AA39" s="248"/>
      <c r="AB39" s="264"/>
      <c r="AC39" s="265"/>
      <c r="AD39" s="265"/>
      <c r="AE39" s="265"/>
      <c r="AF39" s="265"/>
      <c r="AG39" s="266"/>
      <c r="AH39" s="255"/>
      <c r="AI39" s="256"/>
      <c r="AJ39" s="256"/>
      <c r="AK39" s="256"/>
      <c r="AL39" s="256"/>
      <c r="AM39" s="25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3">
      <c r="A40" s="97"/>
      <c r="B40" s="284"/>
      <c r="C40" s="284"/>
      <c r="D40" s="285"/>
      <c r="E40" s="277"/>
      <c r="F40" s="278"/>
      <c r="G40" s="278"/>
      <c r="H40" s="278"/>
      <c r="I40" s="279"/>
      <c r="J40" s="237" t="str">
        <f>IF(AND('Mapa final'!$H$28="Muy Baja",'Mapa final'!$L$28="Leve"),CONCATENATE("R",'Mapa final'!$A$28),"")</f>
        <v/>
      </c>
      <c r="K40" s="238"/>
      <c r="L40" s="238" t="str">
        <f>IF(AND('Mapa final'!$H$34="Muy Baja",'Mapa final'!$L$34="Leve"),CONCATENATE("R",'Mapa final'!$A$34),"")</f>
        <v/>
      </c>
      <c r="M40" s="238"/>
      <c r="N40" s="238" t="str">
        <f>IF(AND('Mapa final'!$H$40="Muy Baja",'Mapa final'!$L$40="Leve"),CONCATENATE("R",'Mapa final'!$A$40),"")</f>
        <v/>
      </c>
      <c r="O40" s="239"/>
      <c r="P40" s="237" t="str">
        <f>IF(AND('Mapa final'!$H$28="Muy Baja",'Mapa final'!$L$28="Menor"),CONCATENATE("R",'Mapa final'!$A$28),"")</f>
        <v/>
      </c>
      <c r="Q40" s="238"/>
      <c r="R40" s="238" t="str">
        <f>IF(AND('Mapa final'!$H$34="Muy Baja",'Mapa final'!$L$34="Menor"),CONCATENATE("R",'Mapa final'!$A$34),"")</f>
        <v/>
      </c>
      <c r="S40" s="238"/>
      <c r="T40" s="238" t="str">
        <f>IF(AND('Mapa final'!$H$40="Muy Baja",'Mapa final'!$L$40="Menor"),CONCATENATE("R",'Mapa final'!$A$40),"")</f>
        <v/>
      </c>
      <c r="U40" s="239"/>
      <c r="V40" s="246" t="str">
        <f>IF(AND('Mapa final'!$H$28="Muy Baja",'Mapa final'!$L$28="Moderado"),CONCATENATE("R",'Mapa final'!$A$28),"")</f>
        <v/>
      </c>
      <c r="W40" s="247"/>
      <c r="X40" s="247" t="str">
        <f>IF(AND('Mapa final'!$H$34="Muy Baja",'Mapa final'!$L$34="Moderado"),CONCATENATE("R",'Mapa final'!$A$34),"")</f>
        <v/>
      </c>
      <c r="Y40" s="247"/>
      <c r="Z40" s="247" t="str">
        <f>IF(AND('Mapa final'!$H$40="Muy Baja",'Mapa final'!$L$40="Moderado"),CONCATENATE("R",'Mapa final'!$A$40),"")</f>
        <v/>
      </c>
      <c r="AA40" s="248"/>
      <c r="AB40" s="264" t="str">
        <f>IF(AND('Mapa final'!$H$28="Muy Baja",'Mapa final'!$L$28="Mayor"),CONCATENATE("R",'Mapa final'!$A$28),"")</f>
        <v/>
      </c>
      <c r="AC40" s="265"/>
      <c r="AD40" s="265" t="str">
        <f>IF(AND('Mapa final'!$H$34="Muy Baja",'Mapa final'!$L$34="Mayor"),CONCATENATE("R",'Mapa final'!$A$34),"")</f>
        <v/>
      </c>
      <c r="AE40" s="265"/>
      <c r="AF40" s="265" t="str">
        <f>IF(AND('Mapa final'!$H$40="Muy Baja",'Mapa final'!$L$40="Mayor"),CONCATENATE("R",'Mapa final'!$A$40),"")</f>
        <v/>
      </c>
      <c r="AG40" s="266"/>
      <c r="AH40" s="255" t="str">
        <f>IF(AND('Mapa final'!$H$28="Muy Baja",'Mapa final'!$L$28="Catastrófico"),CONCATENATE("R",'Mapa final'!$A$28),"")</f>
        <v/>
      </c>
      <c r="AI40" s="256"/>
      <c r="AJ40" s="256" t="str">
        <f>IF(AND('Mapa final'!$H$34="Muy Baja",'Mapa final'!$L$34="Catastrófico"),CONCATENATE("R",'Mapa final'!$A$34),"")</f>
        <v/>
      </c>
      <c r="AK40" s="256"/>
      <c r="AL40" s="256" t="str">
        <f>IF(AND('Mapa final'!$H$40="Muy Baja",'Mapa final'!$L$40="Catastrófico"),CONCATENATE("R",'Mapa final'!$A$40),"")</f>
        <v/>
      </c>
      <c r="AM40" s="25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3">
      <c r="A41" s="97"/>
      <c r="B41" s="284"/>
      <c r="C41" s="284"/>
      <c r="D41" s="285"/>
      <c r="E41" s="277"/>
      <c r="F41" s="278"/>
      <c r="G41" s="278"/>
      <c r="H41" s="278"/>
      <c r="I41" s="279"/>
      <c r="J41" s="237"/>
      <c r="K41" s="238"/>
      <c r="L41" s="238"/>
      <c r="M41" s="238"/>
      <c r="N41" s="238"/>
      <c r="O41" s="239"/>
      <c r="P41" s="237"/>
      <c r="Q41" s="238"/>
      <c r="R41" s="238"/>
      <c r="S41" s="238"/>
      <c r="T41" s="238"/>
      <c r="U41" s="239"/>
      <c r="V41" s="246"/>
      <c r="W41" s="247"/>
      <c r="X41" s="247"/>
      <c r="Y41" s="247"/>
      <c r="Z41" s="247"/>
      <c r="AA41" s="248"/>
      <c r="AB41" s="264"/>
      <c r="AC41" s="265"/>
      <c r="AD41" s="265"/>
      <c r="AE41" s="265"/>
      <c r="AF41" s="265"/>
      <c r="AG41" s="266"/>
      <c r="AH41" s="255"/>
      <c r="AI41" s="256"/>
      <c r="AJ41" s="256"/>
      <c r="AK41" s="256"/>
      <c r="AL41" s="256"/>
      <c r="AM41" s="25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3">
      <c r="A42" s="97"/>
      <c r="B42" s="284"/>
      <c r="C42" s="284"/>
      <c r="D42" s="285"/>
      <c r="E42" s="277"/>
      <c r="F42" s="278"/>
      <c r="G42" s="278"/>
      <c r="H42" s="278"/>
      <c r="I42" s="279"/>
      <c r="J42" s="237" t="str">
        <f>IF(AND('Mapa final'!$H$46="Muy Baja",'Mapa final'!$L$46="Leve"),CONCATENATE("R",'Mapa final'!$A$46),"")</f>
        <v/>
      </c>
      <c r="K42" s="238"/>
      <c r="L42" s="238" t="str">
        <f>IF(AND('Mapa final'!$H$52="Muy Baja",'Mapa final'!$L$52="Leve"),CONCATENATE("R",'Mapa final'!$A$52),"")</f>
        <v/>
      </c>
      <c r="M42" s="238"/>
      <c r="N42" s="238" t="str">
        <f>IF(AND('Mapa final'!$H$58="Muy Baja",'Mapa final'!$L$58="Leve"),CONCATENATE("R",'Mapa final'!$A$58),"")</f>
        <v/>
      </c>
      <c r="O42" s="239"/>
      <c r="P42" s="237" t="str">
        <f>IF(AND('Mapa final'!$H$46="Muy Baja",'Mapa final'!$L$46="Menor"),CONCATENATE("R",'Mapa final'!$A$46),"")</f>
        <v/>
      </c>
      <c r="Q42" s="238"/>
      <c r="R42" s="238" t="str">
        <f>IF(AND('Mapa final'!$H$52="Muy Baja",'Mapa final'!$L$52="Menor"),CONCATENATE("R",'Mapa final'!$A$52),"")</f>
        <v/>
      </c>
      <c r="S42" s="238"/>
      <c r="T42" s="238" t="str">
        <f>IF(AND('Mapa final'!$H$58="Muy Baja",'Mapa final'!$L$58="Menor"),CONCATENATE("R",'Mapa final'!$A$58),"")</f>
        <v/>
      </c>
      <c r="U42" s="239"/>
      <c r="V42" s="246" t="str">
        <f>IF(AND('Mapa final'!$H$46="Muy Baja",'Mapa final'!$L$46="Moderado"),CONCATENATE("R",'Mapa final'!$A$46),"")</f>
        <v/>
      </c>
      <c r="W42" s="247"/>
      <c r="X42" s="247" t="str">
        <f>IF(AND('Mapa final'!$H$52="Muy Baja",'Mapa final'!$L$52="Moderado"),CONCATENATE("R",'Mapa final'!$A$52),"")</f>
        <v/>
      </c>
      <c r="Y42" s="247"/>
      <c r="Z42" s="247" t="str">
        <f>IF(AND('Mapa final'!$H$58="Muy Baja",'Mapa final'!$L$58="Moderado"),CONCATENATE("R",'Mapa final'!$A$58),"")</f>
        <v/>
      </c>
      <c r="AA42" s="248"/>
      <c r="AB42" s="264" t="str">
        <f>IF(AND('Mapa final'!$H$46="Muy Baja",'Mapa final'!$L$46="Mayor"),CONCATENATE("R",'Mapa final'!$A$46),"")</f>
        <v/>
      </c>
      <c r="AC42" s="265"/>
      <c r="AD42" s="265" t="str">
        <f>IF(AND('Mapa final'!$H$52="Muy Baja",'Mapa final'!$L$52="Mayor"),CONCATENATE("R",'Mapa final'!$A$52),"")</f>
        <v/>
      </c>
      <c r="AE42" s="265"/>
      <c r="AF42" s="265" t="str">
        <f>IF(AND('Mapa final'!$H$58="Muy Baja",'Mapa final'!$L$58="Mayor"),CONCATENATE("R",'Mapa final'!$A$58),"")</f>
        <v/>
      </c>
      <c r="AG42" s="266"/>
      <c r="AH42" s="255" t="str">
        <f>IF(AND('Mapa final'!$H$46="Muy Baja",'Mapa final'!$L$46="Catastrófico"),CONCATENATE("R",'Mapa final'!$A$46),"")</f>
        <v/>
      </c>
      <c r="AI42" s="256"/>
      <c r="AJ42" s="256" t="str">
        <f>IF(AND('Mapa final'!$H$52="Muy Baja",'Mapa final'!$L$52="Catastrófico"),CONCATENATE("R",'Mapa final'!$A$52),"")</f>
        <v/>
      </c>
      <c r="AK42" s="256"/>
      <c r="AL42" s="256" t="str">
        <f>IF(AND('Mapa final'!$H$58="Muy Baja",'Mapa final'!$L$58="Catastrófico"),CONCATENATE("R",'Mapa final'!$A$58),"")</f>
        <v/>
      </c>
      <c r="AM42" s="25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3">
      <c r="A43" s="97"/>
      <c r="B43" s="284"/>
      <c r="C43" s="284"/>
      <c r="D43" s="285"/>
      <c r="E43" s="277"/>
      <c r="F43" s="278"/>
      <c r="G43" s="278"/>
      <c r="H43" s="278"/>
      <c r="I43" s="279"/>
      <c r="J43" s="237"/>
      <c r="K43" s="238"/>
      <c r="L43" s="238"/>
      <c r="M43" s="238"/>
      <c r="N43" s="238"/>
      <c r="O43" s="239"/>
      <c r="P43" s="237"/>
      <c r="Q43" s="238"/>
      <c r="R43" s="238"/>
      <c r="S43" s="238"/>
      <c r="T43" s="238"/>
      <c r="U43" s="239"/>
      <c r="V43" s="246"/>
      <c r="W43" s="247"/>
      <c r="X43" s="247"/>
      <c r="Y43" s="247"/>
      <c r="Z43" s="247"/>
      <c r="AA43" s="248"/>
      <c r="AB43" s="264"/>
      <c r="AC43" s="265"/>
      <c r="AD43" s="265"/>
      <c r="AE43" s="265"/>
      <c r="AF43" s="265"/>
      <c r="AG43" s="266"/>
      <c r="AH43" s="255"/>
      <c r="AI43" s="256"/>
      <c r="AJ43" s="256"/>
      <c r="AK43" s="256"/>
      <c r="AL43" s="256"/>
      <c r="AM43" s="25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3">
      <c r="A44" s="97"/>
      <c r="B44" s="284"/>
      <c r="C44" s="284"/>
      <c r="D44" s="285"/>
      <c r="E44" s="277"/>
      <c r="F44" s="278"/>
      <c r="G44" s="278"/>
      <c r="H44" s="278"/>
      <c r="I44" s="279"/>
      <c r="J44" s="237" t="str">
        <f>IF(AND('Mapa final'!$H$64="Muy Baja",'Mapa final'!$L$64="Leve"),CONCATENATE("R",'Mapa final'!$A$64),"")</f>
        <v/>
      </c>
      <c r="K44" s="238"/>
      <c r="L44" s="238" t="str">
        <f>IF(AND('Mapa final'!$H$70="Muy Baja",'Mapa final'!$L$70="Leve"),CONCATENATE("R",'Mapa final'!$A$70),"")</f>
        <v/>
      </c>
      <c r="M44" s="238"/>
      <c r="N44" s="238" t="str">
        <f>IF(AND('Mapa final'!$H$76="Muy Baja",'Mapa final'!$L$76="Leve"),CONCATENATE("R",'Mapa final'!$A$76),"")</f>
        <v/>
      </c>
      <c r="O44" s="239"/>
      <c r="P44" s="237" t="str">
        <f>IF(AND('Mapa final'!$H$64="Muy Baja",'Mapa final'!$L$64="Menor"),CONCATENATE("R",'Mapa final'!$A$64),"")</f>
        <v/>
      </c>
      <c r="Q44" s="238"/>
      <c r="R44" s="238" t="str">
        <f>IF(AND('Mapa final'!$H$70="Muy Baja",'Mapa final'!$L$70="Menor"),CONCATENATE("R",'Mapa final'!$A$70),"")</f>
        <v/>
      </c>
      <c r="S44" s="238"/>
      <c r="T44" s="238" t="str">
        <f>IF(AND('Mapa final'!$H$76="Muy Baja",'Mapa final'!$L$76="Menor"),CONCATENATE("R",'Mapa final'!$A$76),"")</f>
        <v/>
      </c>
      <c r="U44" s="239"/>
      <c r="V44" s="246" t="str">
        <f>IF(AND('Mapa final'!$H$64="Muy Baja",'Mapa final'!$L$64="Moderado"),CONCATENATE("R",'Mapa final'!$A$64),"")</f>
        <v/>
      </c>
      <c r="W44" s="247"/>
      <c r="X44" s="247" t="str">
        <f>IF(AND('Mapa final'!$H$70="Muy Baja",'Mapa final'!$L$70="Moderado"),CONCATENATE("R",'Mapa final'!$A$70),"")</f>
        <v/>
      </c>
      <c r="Y44" s="247"/>
      <c r="Z44" s="247" t="str">
        <f>IF(AND('Mapa final'!$H$76="Muy Baja",'Mapa final'!$L$76="Moderado"),CONCATENATE("R",'Mapa final'!$A$76),"")</f>
        <v/>
      </c>
      <c r="AA44" s="248"/>
      <c r="AB44" s="264" t="str">
        <f>IF(AND('Mapa final'!$H$64="Muy Baja",'Mapa final'!$L$64="Mayor"),CONCATENATE("R",'Mapa final'!$A$64),"")</f>
        <v/>
      </c>
      <c r="AC44" s="265"/>
      <c r="AD44" s="265" t="str">
        <f>IF(AND('Mapa final'!$H$70="Muy Baja",'Mapa final'!$L$70="Mayor"),CONCATENATE("R",'Mapa final'!$A$70),"")</f>
        <v/>
      </c>
      <c r="AE44" s="265"/>
      <c r="AF44" s="265" t="str">
        <f>IF(AND('Mapa final'!$H$76="Muy Baja",'Mapa final'!$L$76="Mayor"),CONCATENATE("R",'Mapa final'!$A$76),"")</f>
        <v/>
      </c>
      <c r="AG44" s="266"/>
      <c r="AH44" s="255" t="str">
        <f>IF(AND('Mapa final'!$H$64="Muy Baja",'Mapa final'!$L$64="Catastrófico"),CONCATENATE("R",'Mapa final'!$A$64),"")</f>
        <v/>
      </c>
      <c r="AI44" s="256"/>
      <c r="AJ44" s="256" t="str">
        <f>IF(AND('Mapa final'!$H$70="Muy Baja",'Mapa final'!$L$70="Catastrófico"),CONCATENATE("R",'Mapa final'!$A$70),"")</f>
        <v/>
      </c>
      <c r="AK44" s="256"/>
      <c r="AL44" s="256" t="str">
        <f>IF(AND('Mapa final'!$H$76="Muy Baja",'Mapa final'!$L$76="Catastrófico"),CONCATENATE("R",'Mapa final'!$A$76),"")</f>
        <v/>
      </c>
      <c r="AM44" s="25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 thickBot="1" x14ac:dyDescent="0.35">
      <c r="A45" s="97"/>
      <c r="B45" s="284"/>
      <c r="C45" s="284"/>
      <c r="D45" s="285"/>
      <c r="E45" s="280"/>
      <c r="F45" s="281"/>
      <c r="G45" s="281"/>
      <c r="H45" s="281"/>
      <c r="I45" s="282"/>
      <c r="J45" s="240"/>
      <c r="K45" s="241"/>
      <c r="L45" s="241"/>
      <c r="M45" s="241"/>
      <c r="N45" s="241"/>
      <c r="O45" s="242"/>
      <c r="P45" s="240"/>
      <c r="Q45" s="241"/>
      <c r="R45" s="241"/>
      <c r="S45" s="241"/>
      <c r="T45" s="241"/>
      <c r="U45" s="242"/>
      <c r="V45" s="249"/>
      <c r="W45" s="250"/>
      <c r="X45" s="250"/>
      <c r="Y45" s="250"/>
      <c r="Z45" s="250"/>
      <c r="AA45" s="251"/>
      <c r="AB45" s="267"/>
      <c r="AC45" s="268"/>
      <c r="AD45" s="268"/>
      <c r="AE45" s="268"/>
      <c r="AF45" s="268"/>
      <c r="AG45" s="269"/>
      <c r="AH45" s="258"/>
      <c r="AI45" s="259"/>
      <c r="AJ45" s="259"/>
      <c r="AK45" s="259"/>
      <c r="AL45" s="259"/>
      <c r="AM45" s="260"/>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3">
      <c r="A46" s="97"/>
      <c r="B46" s="97"/>
      <c r="C46" s="97"/>
      <c r="D46" s="97"/>
      <c r="E46" s="97"/>
      <c r="F46" s="97"/>
      <c r="G46" s="97"/>
      <c r="H46" s="97"/>
      <c r="I46" s="97"/>
      <c r="J46" s="274" t="s">
        <v>111</v>
      </c>
      <c r="K46" s="275"/>
      <c r="L46" s="275"/>
      <c r="M46" s="275"/>
      <c r="N46" s="275"/>
      <c r="O46" s="276"/>
      <c r="P46" s="274" t="s">
        <v>110</v>
      </c>
      <c r="Q46" s="275"/>
      <c r="R46" s="275"/>
      <c r="S46" s="275"/>
      <c r="T46" s="275"/>
      <c r="U46" s="276"/>
      <c r="V46" s="274" t="s">
        <v>109</v>
      </c>
      <c r="W46" s="275"/>
      <c r="X46" s="275"/>
      <c r="Y46" s="275"/>
      <c r="Z46" s="275"/>
      <c r="AA46" s="276"/>
      <c r="AB46" s="274" t="s">
        <v>108</v>
      </c>
      <c r="AC46" s="283"/>
      <c r="AD46" s="275"/>
      <c r="AE46" s="275"/>
      <c r="AF46" s="275"/>
      <c r="AG46" s="276"/>
      <c r="AH46" s="274" t="s">
        <v>107</v>
      </c>
      <c r="AI46" s="275"/>
      <c r="AJ46" s="275"/>
      <c r="AK46" s="275"/>
      <c r="AL46" s="275"/>
      <c r="AM46" s="276"/>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3">
      <c r="A47" s="97"/>
      <c r="B47" s="97"/>
      <c r="C47" s="97"/>
      <c r="D47" s="97"/>
      <c r="E47" s="97"/>
      <c r="F47" s="97"/>
      <c r="G47" s="97"/>
      <c r="H47" s="97"/>
      <c r="I47" s="97"/>
      <c r="J47" s="277"/>
      <c r="K47" s="278"/>
      <c r="L47" s="278"/>
      <c r="M47" s="278"/>
      <c r="N47" s="278"/>
      <c r="O47" s="279"/>
      <c r="P47" s="277"/>
      <c r="Q47" s="278"/>
      <c r="R47" s="278"/>
      <c r="S47" s="278"/>
      <c r="T47" s="278"/>
      <c r="U47" s="279"/>
      <c r="V47" s="277"/>
      <c r="W47" s="278"/>
      <c r="X47" s="278"/>
      <c r="Y47" s="278"/>
      <c r="Z47" s="278"/>
      <c r="AA47" s="279"/>
      <c r="AB47" s="277"/>
      <c r="AC47" s="278"/>
      <c r="AD47" s="278"/>
      <c r="AE47" s="278"/>
      <c r="AF47" s="278"/>
      <c r="AG47" s="279"/>
      <c r="AH47" s="277"/>
      <c r="AI47" s="278"/>
      <c r="AJ47" s="278"/>
      <c r="AK47" s="278"/>
      <c r="AL47" s="278"/>
      <c r="AM47" s="279"/>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3">
      <c r="A48" s="97"/>
      <c r="B48" s="97"/>
      <c r="C48" s="97"/>
      <c r="D48" s="97"/>
      <c r="E48" s="97"/>
      <c r="F48" s="97"/>
      <c r="G48" s="97"/>
      <c r="H48" s="97"/>
      <c r="I48" s="97"/>
      <c r="J48" s="277"/>
      <c r="K48" s="278"/>
      <c r="L48" s="278"/>
      <c r="M48" s="278"/>
      <c r="N48" s="278"/>
      <c r="O48" s="279"/>
      <c r="P48" s="277"/>
      <c r="Q48" s="278"/>
      <c r="R48" s="278"/>
      <c r="S48" s="278"/>
      <c r="T48" s="278"/>
      <c r="U48" s="279"/>
      <c r="V48" s="277"/>
      <c r="W48" s="278"/>
      <c r="X48" s="278"/>
      <c r="Y48" s="278"/>
      <c r="Z48" s="278"/>
      <c r="AA48" s="279"/>
      <c r="AB48" s="277"/>
      <c r="AC48" s="278"/>
      <c r="AD48" s="278"/>
      <c r="AE48" s="278"/>
      <c r="AF48" s="278"/>
      <c r="AG48" s="279"/>
      <c r="AH48" s="277"/>
      <c r="AI48" s="278"/>
      <c r="AJ48" s="278"/>
      <c r="AK48" s="278"/>
      <c r="AL48" s="278"/>
      <c r="AM48" s="279"/>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3">
      <c r="A49" s="97"/>
      <c r="B49" s="97"/>
      <c r="C49" s="97"/>
      <c r="D49" s="97"/>
      <c r="E49" s="97"/>
      <c r="F49" s="97"/>
      <c r="G49" s="97"/>
      <c r="H49" s="97"/>
      <c r="I49" s="97"/>
      <c r="J49" s="277"/>
      <c r="K49" s="278"/>
      <c r="L49" s="278"/>
      <c r="M49" s="278"/>
      <c r="N49" s="278"/>
      <c r="O49" s="279"/>
      <c r="P49" s="277"/>
      <c r="Q49" s="278"/>
      <c r="R49" s="278"/>
      <c r="S49" s="278"/>
      <c r="T49" s="278"/>
      <c r="U49" s="279"/>
      <c r="V49" s="277"/>
      <c r="W49" s="278"/>
      <c r="X49" s="278"/>
      <c r="Y49" s="278"/>
      <c r="Z49" s="278"/>
      <c r="AA49" s="279"/>
      <c r="AB49" s="277"/>
      <c r="AC49" s="278"/>
      <c r="AD49" s="278"/>
      <c r="AE49" s="278"/>
      <c r="AF49" s="278"/>
      <c r="AG49" s="279"/>
      <c r="AH49" s="277"/>
      <c r="AI49" s="278"/>
      <c r="AJ49" s="278"/>
      <c r="AK49" s="278"/>
      <c r="AL49" s="278"/>
      <c r="AM49" s="279"/>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3">
      <c r="A50" s="97"/>
      <c r="B50" s="97"/>
      <c r="C50" s="97"/>
      <c r="D50" s="97"/>
      <c r="E50" s="97"/>
      <c r="F50" s="97"/>
      <c r="G50" s="97"/>
      <c r="H50" s="97"/>
      <c r="I50" s="97"/>
      <c r="J50" s="277"/>
      <c r="K50" s="278"/>
      <c r="L50" s="278"/>
      <c r="M50" s="278"/>
      <c r="N50" s="278"/>
      <c r="O50" s="279"/>
      <c r="P50" s="277"/>
      <c r="Q50" s="278"/>
      <c r="R50" s="278"/>
      <c r="S50" s="278"/>
      <c r="T50" s="278"/>
      <c r="U50" s="279"/>
      <c r="V50" s="277"/>
      <c r="W50" s="278"/>
      <c r="X50" s="278"/>
      <c r="Y50" s="278"/>
      <c r="Z50" s="278"/>
      <c r="AA50" s="279"/>
      <c r="AB50" s="277"/>
      <c r="AC50" s="278"/>
      <c r="AD50" s="278"/>
      <c r="AE50" s="278"/>
      <c r="AF50" s="278"/>
      <c r="AG50" s="279"/>
      <c r="AH50" s="277"/>
      <c r="AI50" s="278"/>
      <c r="AJ50" s="278"/>
      <c r="AK50" s="278"/>
      <c r="AL50" s="278"/>
      <c r="AM50" s="279"/>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thickBot="1" x14ac:dyDescent="0.35">
      <c r="A51" s="97"/>
      <c r="B51" s="97"/>
      <c r="C51" s="97"/>
      <c r="D51" s="97"/>
      <c r="E51" s="97"/>
      <c r="F51" s="97"/>
      <c r="G51" s="97"/>
      <c r="H51" s="97"/>
      <c r="I51" s="97"/>
      <c r="J51" s="280"/>
      <c r="K51" s="281"/>
      <c r="L51" s="281"/>
      <c r="M51" s="281"/>
      <c r="N51" s="281"/>
      <c r="O51" s="282"/>
      <c r="P51" s="280"/>
      <c r="Q51" s="281"/>
      <c r="R51" s="281"/>
      <c r="S51" s="281"/>
      <c r="T51" s="281"/>
      <c r="U51" s="282"/>
      <c r="V51" s="280"/>
      <c r="W51" s="281"/>
      <c r="X51" s="281"/>
      <c r="Y51" s="281"/>
      <c r="Z51" s="281"/>
      <c r="AA51" s="282"/>
      <c r="AB51" s="280"/>
      <c r="AC51" s="281"/>
      <c r="AD51" s="281"/>
      <c r="AE51" s="281"/>
      <c r="AF51" s="281"/>
      <c r="AG51" s="282"/>
      <c r="AH51" s="280"/>
      <c r="AI51" s="281"/>
      <c r="AJ51" s="281"/>
      <c r="AK51" s="281"/>
      <c r="AL51" s="281"/>
      <c r="AM51" s="282"/>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3">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3">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3">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3">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3">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3">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3">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3">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3">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3">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3">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3">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3">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3">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3">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3">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3">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3">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3">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3">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3">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3">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3">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3">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3">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3">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3">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3">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3">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3">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3">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3">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3">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3">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3">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3">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3">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3">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3">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3">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3">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3">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3">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3">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3">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3">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3">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3">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3">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3">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3">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3">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3">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3">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3">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3">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3">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3">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3">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3">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3">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3">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3">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3">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3">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3">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3">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3">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3">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3">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3">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3">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3">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3">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3">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3">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3">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3">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3">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3">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3">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3">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3">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3">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3">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3">
      <c r="B137" s="97"/>
      <c r="C137" s="97"/>
      <c r="D137" s="97"/>
      <c r="E137" s="97"/>
      <c r="F137" s="97"/>
      <c r="G137" s="97"/>
      <c r="H137" s="97"/>
      <c r="I137" s="97"/>
    </row>
    <row r="138" spans="2:63" x14ac:dyDescent="0.3">
      <c r="B138" s="97"/>
      <c r="C138" s="97"/>
      <c r="D138" s="97"/>
      <c r="E138" s="97"/>
      <c r="F138" s="97"/>
      <c r="G138" s="97"/>
      <c r="H138" s="97"/>
      <c r="I138" s="97"/>
    </row>
    <row r="139" spans="2:63" x14ac:dyDescent="0.3">
      <c r="B139" s="97"/>
      <c r="C139" s="97"/>
      <c r="D139" s="97"/>
      <c r="E139" s="97"/>
      <c r="F139" s="97"/>
      <c r="G139" s="97"/>
      <c r="H139" s="97"/>
      <c r="I139" s="97"/>
    </row>
    <row r="140" spans="2:63" x14ac:dyDescent="0.3">
      <c r="B140" s="97"/>
      <c r="C140" s="97"/>
      <c r="D140" s="97"/>
      <c r="E140" s="97"/>
      <c r="F140" s="97"/>
      <c r="G140" s="97"/>
      <c r="H140" s="97"/>
      <c r="I140" s="97"/>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16" zoomScale="50" zoomScaleNormal="50" workbookViewId="0">
      <selection activeCell="P56" sqref="P56:U61"/>
    </sheetView>
  </sheetViews>
  <sheetFormatPr baseColWidth="10" defaultRowHeight="14.4" x14ac:dyDescent="0.3"/>
  <cols>
    <col min="2" max="18" width="5.6640625" customWidth="1"/>
    <col min="19" max="19" width="8.44140625" customWidth="1"/>
    <col min="20" max="23" width="5.6640625" customWidth="1"/>
    <col min="24" max="24" width="8.5546875" customWidth="1"/>
    <col min="25" max="26" width="5.6640625" customWidth="1"/>
    <col min="27" max="27" width="10.6640625" customWidth="1"/>
    <col min="28" max="28" width="5.6640625" customWidth="1"/>
    <col min="29" max="29" width="7.44140625" customWidth="1"/>
    <col min="30" max="33" width="5.6640625" customWidth="1"/>
    <col min="34" max="34" width="8.5546875" customWidth="1"/>
    <col min="35" max="39" width="5.6640625" customWidth="1"/>
    <col min="41" max="46" width="5.6640625" customWidth="1"/>
  </cols>
  <sheetData>
    <row r="1" spans="1:91" x14ac:dyDescent="0.3">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3">
      <c r="A2" s="97"/>
      <c r="B2" s="351" t="s">
        <v>159</v>
      </c>
      <c r="C2" s="352"/>
      <c r="D2" s="352"/>
      <c r="E2" s="352"/>
      <c r="F2" s="352"/>
      <c r="G2" s="352"/>
      <c r="H2" s="352"/>
      <c r="I2" s="352"/>
      <c r="J2" s="273" t="s">
        <v>2</v>
      </c>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3">
      <c r="A3" s="97"/>
      <c r="B3" s="352"/>
      <c r="C3" s="352"/>
      <c r="D3" s="352"/>
      <c r="E3" s="352"/>
      <c r="F3" s="352"/>
      <c r="G3" s="352"/>
      <c r="H3" s="352"/>
      <c r="I3" s="352"/>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3">
      <c r="A4" s="97"/>
      <c r="B4" s="352"/>
      <c r="C4" s="352"/>
      <c r="D4" s="352"/>
      <c r="E4" s="352"/>
      <c r="F4" s="352"/>
      <c r="G4" s="352"/>
      <c r="H4" s="352"/>
      <c r="I4" s="352"/>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 thickBot="1" x14ac:dyDescent="0.35">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3">
      <c r="A6" s="97"/>
      <c r="B6" s="284" t="s">
        <v>4</v>
      </c>
      <c r="C6" s="284"/>
      <c r="D6" s="285"/>
      <c r="E6" s="322" t="s">
        <v>115</v>
      </c>
      <c r="F6" s="323"/>
      <c r="G6" s="323"/>
      <c r="H6" s="323"/>
      <c r="I6" s="324"/>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42" t="s">
        <v>79</v>
      </c>
      <c r="AP6" s="343"/>
      <c r="AQ6" s="343"/>
      <c r="AR6" s="343"/>
      <c r="AS6" s="343"/>
      <c r="AT6" s="344"/>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3">
      <c r="A7" s="97"/>
      <c r="B7" s="284"/>
      <c r="C7" s="284"/>
      <c r="D7" s="285"/>
      <c r="E7" s="325"/>
      <c r="F7" s="326"/>
      <c r="G7" s="326"/>
      <c r="H7" s="326"/>
      <c r="I7" s="327"/>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5"/>
      <c r="AP7" s="346"/>
      <c r="AQ7" s="346"/>
      <c r="AR7" s="346"/>
      <c r="AS7" s="346"/>
      <c r="AT7" s="34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3">
      <c r="A8" s="97"/>
      <c r="B8" s="284"/>
      <c r="C8" s="284"/>
      <c r="D8" s="285"/>
      <c r="E8" s="325"/>
      <c r="F8" s="326"/>
      <c r="G8" s="326"/>
      <c r="H8" s="326"/>
      <c r="I8" s="327"/>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5"/>
      <c r="AP8" s="346"/>
      <c r="AQ8" s="346"/>
      <c r="AR8" s="346"/>
      <c r="AS8" s="346"/>
      <c r="AT8" s="34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3">
      <c r="A9" s="97"/>
      <c r="B9" s="284"/>
      <c r="C9" s="284"/>
      <c r="D9" s="285"/>
      <c r="E9" s="325"/>
      <c r="F9" s="326"/>
      <c r="G9" s="326"/>
      <c r="H9" s="326"/>
      <c r="I9" s="327"/>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5"/>
      <c r="AP9" s="346"/>
      <c r="AQ9" s="346"/>
      <c r="AR9" s="346"/>
      <c r="AS9" s="346"/>
      <c r="AT9" s="34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3">
      <c r="A10" s="97"/>
      <c r="B10" s="284"/>
      <c r="C10" s="284"/>
      <c r="D10" s="285"/>
      <c r="E10" s="325"/>
      <c r="F10" s="326"/>
      <c r="G10" s="326"/>
      <c r="H10" s="326"/>
      <c r="I10" s="327"/>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5"/>
      <c r="AP10" s="346"/>
      <c r="AQ10" s="346"/>
      <c r="AR10" s="346"/>
      <c r="AS10" s="346"/>
      <c r="AT10" s="34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3">
      <c r="A11" s="97"/>
      <c r="B11" s="284"/>
      <c r="C11" s="284"/>
      <c r="D11" s="285"/>
      <c r="E11" s="325"/>
      <c r="F11" s="326"/>
      <c r="G11" s="326"/>
      <c r="H11" s="326"/>
      <c r="I11" s="327"/>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5"/>
      <c r="AP11" s="346"/>
      <c r="AQ11" s="346"/>
      <c r="AR11" s="346"/>
      <c r="AS11" s="346"/>
      <c r="AT11" s="34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3">
      <c r="A12" s="97"/>
      <c r="B12" s="284"/>
      <c r="C12" s="284"/>
      <c r="D12" s="285"/>
      <c r="E12" s="325"/>
      <c r="F12" s="326"/>
      <c r="G12" s="326"/>
      <c r="H12" s="326"/>
      <c r="I12" s="327"/>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5"/>
      <c r="AP12" s="346"/>
      <c r="AQ12" s="346"/>
      <c r="AR12" s="346"/>
      <c r="AS12" s="346"/>
      <c r="AT12" s="34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3">
      <c r="A13" s="97"/>
      <c r="B13" s="284"/>
      <c r="C13" s="284"/>
      <c r="D13" s="285"/>
      <c r="E13" s="325"/>
      <c r="F13" s="326"/>
      <c r="G13" s="326"/>
      <c r="H13" s="326"/>
      <c r="I13" s="327"/>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5"/>
      <c r="AP13" s="346"/>
      <c r="AQ13" s="346"/>
      <c r="AR13" s="346"/>
      <c r="AS13" s="346"/>
      <c r="AT13" s="34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3">
      <c r="A14" s="97"/>
      <c r="B14" s="284"/>
      <c r="C14" s="284"/>
      <c r="D14" s="285"/>
      <c r="E14" s="325"/>
      <c r="F14" s="326"/>
      <c r="G14" s="326"/>
      <c r="H14" s="326"/>
      <c r="I14" s="327"/>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5"/>
      <c r="AP14" s="346"/>
      <c r="AQ14" s="346"/>
      <c r="AR14" s="346"/>
      <c r="AS14" s="346"/>
      <c r="AT14" s="34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5">
      <c r="A15" s="97"/>
      <c r="B15" s="284"/>
      <c r="C15" s="284"/>
      <c r="D15" s="285"/>
      <c r="E15" s="328"/>
      <c r="F15" s="329"/>
      <c r="G15" s="329"/>
      <c r="H15" s="329"/>
      <c r="I15" s="330"/>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8"/>
      <c r="AP15" s="349"/>
      <c r="AQ15" s="349"/>
      <c r="AR15" s="349"/>
      <c r="AS15" s="349"/>
      <c r="AT15" s="350"/>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3">
      <c r="A16" s="97"/>
      <c r="B16" s="284"/>
      <c r="C16" s="284"/>
      <c r="D16" s="285"/>
      <c r="E16" s="322" t="s">
        <v>114</v>
      </c>
      <c r="F16" s="323"/>
      <c r="G16" s="323"/>
      <c r="H16" s="323"/>
      <c r="I16" s="323"/>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32" t="s">
        <v>80</v>
      </c>
      <c r="AP16" s="333"/>
      <c r="AQ16" s="333"/>
      <c r="AR16" s="333"/>
      <c r="AS16" s="333"/>
      <c r="AT16" s="334"/>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3">
      <c r="A17" s="97"/>
      <c r="B17" s="284"/>
      <c r="C17" s="284"/>
      <c r="D17" s="285"/>
      <c r="E17" s="341"/>
      <c r="F17" s="326"/>
      <c r="G17" s="326"/>
      <c r="H17" s="326"/>
      <c r="I17" s="326"/>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35"/>
      <c r="AP17" s="336"/>
      <c r="AQ17" s="336"/>
      <c r="AR17" s="336"/>
      <c r="AS17" s="336"/>
      <c r="AT17" s="33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3">
      <c r="A18" s="97"/>
      <c r="B18" s="284"/>
      <c r="C18" s="284"/>
      <c r="D18" s="285"/>
      <c r="E18" s="325"/>
      <c r="F18" s="326"/>
      <c r="G18" s="326"/>
      <c r="H18" s="326"/>
      <c r="I18" s="326"/>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35"/>
      <c r="AP18" s="336"/>
      <c r="AQ18" s="336"/>
      <c r="AR18" s="336"/>
      <c r="AS18" s="336"/>
      <c r="AT18" s="33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3">
      <c r="A19" s="97"/>
      <c r="B19" s="284"/>
      <c r="C19" s="284"/>
      <c r="D19" s="285"/>
      <c r="E19" s="325"/>
      <c r="F19" s="326"/>
      <c r="G19" s="326"/>
      <c r="H19" s="326"/>
      <c r="I19" s="326"/>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35"/>
      <c r="AP19" s="336"/>
      <c r="AQ19" s="336"/>
      <c r="AR19" s="336"/>
      <c r="AS19" s="336"/>
      <c r="AT19" s="33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3">
      <c r="A20" s="97"/>
      <c r="B20" s="284"/>
      <c r="C20" s="284"/>
      <c r="D20" s="285"/>
      <c r="E20" s="325"/>
      <c r="F20" s="326"/>
      <c r="G20" s="326"/>
      <c r="H20" s="326"/>
      <c r="I20" s="326"/>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35"/>
      <c r="AP20" s="336"/>
      <c r="AQ20" s="336"/>
      <c r="AR20" s="336"/>
      <c r="AS20" s="336"/>
      <c r="AT20" s="337"/>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3">
      <c r="A21" s="97"/>
      <c r="B21" s="284"/>
      <c r="C21" s="284"/>
      <c r="D21" s="285"/>
      <c r="E21" s="325"/>
      <c r="F21" s="326"/>
      <c r="G21" s="326"/>
      <c r="H21" s="326"/>
      <c r="I21" s="326"/>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35"/>
      <c r="AP21" s="336"/>
      <c r="AQ21" s="336"/>
      <c r="AR21" s="336"/>
      <c r="AS21" s="336"/>
      <c r="AT21" s="337"/>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3">
      <c r="A22" s="97"/>
      <c r="B22" s="284"/>
      <c r="C22" s="284"/>
      <c r="D22" s="285"/>
      <c r="E22" s="325"/>
      <c r="F22" s="326"/>
      <c r="G22" s="326"/>
      <c r="H22" s="326"/>
      <c r="I22" s="326"/>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35"/>
      <c r="AP22" s="336"/>
      <c r="AQ22" s="336"/>
      <c r="AR22" s="336"/>
      <c r="AS22" s="336"/>
      <c r="AT22" s="33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3">
      <c r="A23" s="97"/>
      <c r="B23" s="284"/>
      <c r="C23" s="284"/>
      <c r="D23" s="285"/>
      <c r="E23" s="325"/>
      <c r="F23" s="326"/>
      <c r="G23" s="326"/>
      <c r="H23" s="326"/>
      <c r="I23" s="326"/>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35"/>
      <c r="AP23" s="336"/>
      <c r="AQ23" s="336"/>
      <c r="AR23" s="336"/>
      <c r="AS23" s="336"/>
      <c r="AT23" s="33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3">
      <c r="A24" s="97"/>
      <c r="B24" s="284"/>
      <c r="C24" s="284"/>
      <c r="D24" s="285"/>
      <c r="E24" s="325"/>
      <c r="F24" s="326"/>
      <c r="G24" s="326"/>
      <c r="H24" s="326"/>
      <c r="I24" s="326"/>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35"/>
      <c r="AP24" s="336"/>
      <c r="AQ24" s="336"/>
      <c r="AR24" s="336"/>
      <c r="AS24" s="336"/>
      <c r="AT24" s="337"/>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5">
      <c r="A25" s="97"/>
      <c r="B25" s="284"/>
      <c r="C25" s="284"/>
      <c r="D25" s="285"/>
      <c r="E25" s="328"/>
      <c r="F25" s="329"/>
      <c r="G25" s="329"/>
      <c r="H25" s="329"/>
      <c r="I25" s="329"/>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38"/>
      <c r="AP25" s="339"/>
      <c r="AQ25" s="339"/>
      <c r="AR25" s="339"/>
      <c r="AS25" s="339"/>
      <c r="AT25" s="34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3">
      <c r="A26" s="97"/>
      <c r="B26" s="284"/>
      <c r="C26" s="284"/>
      <c r="D26" s="285"/>
      <c r="E26" s="322" t="s">
        <v>116</v>
      </c>
      <c r="F26" s="323"/>
      <c r="G26" s="323"/>
      <c r="H26" s="323"/>
      <c r="I26" s="324"/>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2" t="s">
        <v>81</v>
      </c>
      <c r="AP26" s="363"/>
      <c r="AQ26" s="363"/>
      <c r="AR26" s="363"/>
      <c r="AS26" s="363"/>
      <c r="AT26" s="364"/>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3">
      <c r="A27" s="97"/>
      <c r="B27" s="284"/>
      <c r="C27" s="284"/>
      <c r="D27" s="285"/>
      <c r="E27" s="341"/>
      <c r="F27" s="326"/>
      <c r="G27" s="326"/>
      <c r="H27" s="326"/>
      <c r="I27" s="327"/>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5"/>
      <c r="AP27" s="366"/>
      <c r="AQ27" s="366"/>
      <c r="AR27" s="366"/>
      <c r="AS27" s="366"/>
      <c r="AT27" s="367"/>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3">
      <c r="A28" s="97"/>
      <c r="B28" s="284"/>
      <c r="C28" s="284"/>
      <c r="D28" s="285"/>
      <c r="E28" s="325"/>
      <c r="F28" s="326"/>
      <c r="G28" s="326"/>
      <c r="H28" s="326"/>
      <c r="I28" s="327"/>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5"/>
      <c r="AP28" s="366"/>
      <c r="AQ28" s="366"/>
      <c r="AR28" s="366"/>
      <c r="AS28" s="366"/>
      <c r="AT28" s="367"/>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3">
      <c r="A29" s="97"/>
      <c r="B29" s="284"/>
      <c r="C29" s="284"/>
      <c r="D29" s="285"/>
      <c r="E29" s="325"/>
      <c r="F29" s="326"/>
      <c r="G29" s="326"/>
      <c r="H29" s="326"/>
      <c r="I29" s="327"/>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5"/>
      <c r="AP29" s="366"/>
      <c r="AQ29" s="366"/>
      <c r="AR29" s="366"/>
      <c r="AS29" s="366"/>
      <c r="AT29" s="367"/>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3">
      <c r="A30" s="97"/>
      <c r="B30" s="284"/>
      <c r="C30" s="284"/>
      <c r="D30" s="285"/>
      <c r="E30" s="325"/>
      <c r="F30" s="326"/>
      <c r="G30" s="326"/>
      <c r="H30" s="326"/>
      <c r="I30" s="327"/>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5"/>
      <c r="AP30" s="366"/>
      <c r="AQ30" s="366"/>
      <c r="AR30" s="366"/>
      <c r="AS30" s="366"/>
      <c r="AT30" s="367"/>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3">
      <c r="A31" s="97"/>
      <c r="B31" s="284"/>
      <c r="C31" s="284"/>
      <c r="D31" s="285"/>
      <c r="E31" s="325"/>
      <c r="F31" s="326"/>
      <c r="G31" s="326"/>
      <c r="H31" s="326"/>
      <c r="I31" s="327"/>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5"/>
      <c r="AP31" s="366"/>
      <c r="AQ31" s="366"/>
      <c r="AR31" s="366"/>
      <c r="AS31" s="366"/>
      <c r="AT31" s="36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3">
      <c r="A32" s="97"/>
      <c r="B32" s="284"/>
      <c r="C32" s="284"/>
      <c r="D32" s="285"/>
      <c r="E32" s="325"/>
      <c r="F32" s="326"/>
      <c r="G32" s="326"/>
      <c r="H32" s="326"/>
      <c r="I32" s="327"/>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5"/>
      <c r="AP32" s="366"/>
      <c r="AQ32" s="366"/>
      <c r="AR32" s="366"/>
      <c r="AS32" s="366"/>
      <c r="AT32" s="36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3">
      <c r="A33" s="97"/>
      <c r="B33" s="284"/>
      <c r="C33" s="284"/>
      <c r="D33" s="285"/>
      <c r="E33" s="325"/>
      <c r="F33" s="326"/>
      <c r="G33" s="326"/>
      <c r="H33" s="326"/>
      <c r="I33" s="327"/>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5"/>
      <c r="AP33" s="366"/>
      <c r="AQ33" s="366"/>
      <c r="AR33" s="366"/>
      <c r="AS33" s="366"/>
      <c r="AT33" s="36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3">
      <c r="A34" s="97"/>
      <c r="B34" s="284"/>
      <c r="C34" s="284"/>
      <c r="D34" s="285"/>
      <c r="E34" s="325"/>
      <c r="F34" s="326"/>
      <c r="G34" s="326"/>
      <c r="H34" s="326"/>
      <c r="I34" s="327"/>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5"/>
      <c r="AP34" s="366"/>
      <c r="AQ34" s="366"/>
      <c r="AR34" s="366"/>
      <c r="AS34" s="366"/>
      <c r="AT34" s="36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5">
      <c r="A35" s="97"/>
      <c r="B35" s="284"/>
      <c r="C35" s="284"/>
      <c r="D35" s="285"/>
      <c r="E35" s="328"/>
      <c r="F35" s="329"/>
      <c r="G35" s="329"/>
      <c r="H35" s="329"/>
      <c r="I35" s="330"/>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8"/>
      <c r="AP35" s="369"/>
      <c r="AQ35" s="369"/>
      <c r="AR35" s="369"/>
      <c r="AS35" s="369"/>
      <c r="AT35" s="370"/>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3">
      <c r="A36" s="97"/>
      <c r="B36" s="284"/>
      <c r="C36" s="284"/>
      <c r="D36" s="285"/>
      <c r="E36" s="322" t="s">
        <v>113</v>
      </c>
      <c r="F36" s="323"/>
      <c r="G36" s="323"/>
      <c r="H36" s="323"/>
      <c r="I36" s="323"/>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R1C1</v>
      </c>
      <c r="Q36" s="79" t="str">
        <f>IF(AND('Mapa final'!$Y$11="Baja",'Mapa final'!$AA$11="Menor"),CONCATENATE("R1C",'Mapa final'!$O$11),"")</f>
        <v>R1C2</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3" t="s">
        <v>82</v>
      </c>
      <c r="AP36" s="354"/>
      <c r="AQ36" s="354"/>
      <c r="AR36" s="354"/>
      <c r="AS36" s="354"/>
      <c r="AT36" s="355"/>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3">
      <c r="A37" s="97"/>
      <c r="B37" s="284"/>
      <c r="C37" s="284"/>
      <c r="D37" s="285"/>
      <c r="E37" s="341"/>
      <c r="F37" s="326"/>
      <c r="G37" s="326"/>
      <c r="H37" s="326"/>
      <c r="I37" s="326"/>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R2C2</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R2C1</v>
      </c>
      <c r="W37" s="82" t="str">
        <f>IF(AND('Mapa final'!$Y$17="Baja",'Mapa final'!$AA$17="Moderado"),CONCATENATE("R2C",'Mapa final'!$O$17),"")</f>
        <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6"/>
      <c r="AP37" s="357"/>
      <c r="AQ37" s="357"/>
      <c r="AR37" s="357"/>
      <c r="AS37" s="357"/>
      <c r="AT37" s="358"/>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3">
      <c r="A38" s="97"/>
      <c r="B38" s="284"/>
      <c r="C38" s="284"/>
      <c r="D38" s="285"/>
      <c r="E38" s="325"/>
      <c r="F38" s="326"/>
      <c r="G38" s="326"/>
      <c r="H38" s="326"/>
      <c r="I38" s="326"/>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R3C1</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R3C2</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6"/>
      <c r="AP38" s="357"/>
      <c r="AQ38" s="357"/>
      <c r="AR38" s="357"/>
      <c r="AS38" s="357"/>
      <c r="AT38" s="358"/>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3">
      <c r="A39" s="97"/>
      <c r="B39" s="284"/>
      <c r="C39" s="284"/>
      <c r="D39" s="285"/>
      <c r="E39" s="325"/>
      <c r="F39" s="326"/>
      <c r="G39" s="326"/>
      <c r="H39" s="326"/>
      <c r="I39" s="326"/>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R4C2</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R4C1</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6"/>
      <c r="AP39" s="357"/>
      <c r="AQ39" s="357"/>
      <c r="AR39" s="357"/>
      <c r="AS39" s="357"/>
      <c r="AT39" s="358"/>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3">
      <c r="A40" s="97"/>
      <c r="B40" s="284"/>
      <c r="C40" s="284"/>
      <c r="D40" s="285"/>
      <c r="E40" s="325"/>
      <c r="F40" s="326"/>
      <c r="G40" s="326"/>
      <c r="H40" s="326"/>
      <c r="I40" s="326"/>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R5C1</v>
      </c>
      <c r="W40" s="82" t="str">
        <f>IF(AND('Mapa final'!$Y$35="Baja",'Mapa final'!$AA$35="Moderado"),CONCATENATE("R5C",'Mapa final'!$O$35),"")</f>
        <v>R5C2</v>
      </c>
      <c r="X40" s="82" t="str">
        <f>IF(AND('Mapa final'!$Y$36="Baja",'Mapa final'!$AA$36="Moderado"),CONCATENATE("R5C",'Mapa final'!$O$36),"")</f>
        <v>R5C3</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6"/>
      <c r="AP40" s="357"/>
      <c r="AQ40" s="357"/>
      <c r="AR40" s="357"/>
      <c r="AS40" s="357"/>
      <c r="AT40" s="358"/>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3">
      <c r="A41" s="97"/>
      <c r="B41" s="284"/>
      <c r="C41" s="284"/>
      <c r="D41" s="285"/>
      <c r="E41" s="325"/>
      <c r="F41" s="326"/>
      <c r="G41" s="326"/>
      <c r="H41" s="326"/>
      <c r="I41" s="326"/>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6"/>
      <c r="AP41" s="357"/>
      <c r="AQ41" s="357"/>
      <c r="AR41" s="357"/>
      <c r="AS41" s="357"/>
      <c r="AT41" s="358"/>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3">
      <c r="A42" s="97"/>
      <c r="B42" s="284"/>
      <c r="C42" s="284"/>
      <c r="D42" s="285"/>
      <c r="E42" s="325"/>
      <c r="F42" s="326"/>
      <c r="G42" s="326"/>
      <c r="H42" s="326"/>
      <c r="I42" s="326"/>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6"/>
      <c r="AP42" s="357"/>
      <c r="AQ42" s="357"/>
      <c r="AR42" s="357"/>
      <c r="AS42" s="357"/>
      <c r="AT42" s="358"/>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3">
      <c r="A43" s="97"/>
      <c r="B43" s="284"/>
      <c r="C43" s="284"/>
      <c r="D43" s="285"/>
      <c r="E43" s="325"/>
      <c r="F43" s="326"/>
      <c r="G43" s="326"/>
      <c r="H43" s="326"/>
      <c r="I43" s="326"/>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6"/>
      <c r="AP43" s="357"/>
      <c r="AQ43" s="357"/>
      <c r="AR43" s="357"/>
      <c r="AS43" s="357"/>
      <c r="AT43" s="358"/>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3">
      <c r="A44" s="97"/>
      <c r="B44" s="284"/>
      <c r="C44" s="284"/>
      <c r="D44" s="285"/>
      <c r="E44" s="325"/>
      <c r="F44" s="326"/>
      <c r="G44" s="326"/>
      <c r="H44" s="326"/>
      <c r="I44" s="326"/>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6"/>
      <c r="AP44" s="357"/>
      <c r="AQ44" s="357"/>
      <c r="AR44" s="357"/>
      <c r="AS44" s="357"/>
      <c r="AT44" s="358"/>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5">
      <c r="A45" s="97"/>
      <c r="B45" s="284"/>
      <c r="C45" s="284"/>
      <c r="D45" s="285"/>
      <c r="E45" s="328"/>
      <c r="F45" s="329"/>
      <c r="G45" s="329"/>
      <c r="H45" s="329"/>
      <c r="I45" s="329"/>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9"/>
      <c r="AP45" s="360"/>
      <c r="AQ45" s="360"/>
      <c r="AR45" s="360"/>
      <c r="AS45" s="360"/>
      <c r="AT45" s="361"/>
    </row>
    <row r="46" spans="1:80" ht="46.5" customHeight="1" x14ac:dyDescent="0.45">
      <c r="A46" s="97"/>
      <c r="B46" s="284"/>
      <c r="C46" s="284"/>
      <c r="D46" s="285"/>
      <c r="E46" s="322" t="s">
        <v>112</v>
      </c>
      <c r="F46" s="323"/>
      <c r="G46" s="323"/>
      <c r="H46" s="323"/>
      <c r="I46" s="324"/>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R1C3</v>
      </c>
      <c r="S46" s="88" t="str">
        <f>IF(AND('Mapa final'!$Y$13="Muy Baja",'Mapa final'!$AA$13="Menor"),CONCATENATE("R1C",'Mapa final'!$O$13),"")</f>
        <v>R1C4</v>
      </c>
      <c r="T46" s="88" t="str">
        <f>IF(AND('Mapa final'!$Y$14="Muy Baja",'Mapa final'!$AA$14="Menor"),CONCATENATE("R1C",'Mapa final'!$O$14),"")</f>
        <v>R1C5</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3">
      <c r="A47" s="97"/>
      <c r="B47" s="284"/>
      <c r="C47" s="284"/>
      <c r="D47" s="285"/>
      <c r="E47" s="341"/>
      <c r="F47" s="326"/>
      <c r="G47" s="326"/>
      <c r="H47" s="326"/>
      <c r="I47" s="327"/>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R2C3</v>
      </c>
      <c r="S47" s="91" t="str">
        <f>IF(AND('Mapa final'!$Y$19="Muy Baja",'Mapa final'!$AA$19="Menor"),CONCATENATE("R2C",'Mapa final'!$O$19),"")</f>
        <v>R2C4</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3">
      <c r="A48" s="97"/>
      <c r="B48" s="284"/>
      <c r="C48" s="284"/>
      <c r="D48" s="285"/>
      <c r="E48" s="341"/>
      <c r="F48" s="326"/>
      <c r="G48" s="326"/>
      <c r="H48" s="326"/>
      <c r="I48" s="327"/>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R3C3</v>
      </c>
      <c r="Y48" s="82" t="str">
        <f>IF(AND('Mapa final'!$Y$25="Muy Baja",'Mapa final'!$AA$25="Moderado"),CONCATENATE("R3C",'Mapa final'!$O$25),"")</f>
        <v>R3C4</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3">
      <c r="A49" s="97"/>
      <c r="B49" s="284"/>
      <c r="C49" s="284"/>
      <c r="D49" s="285"/>
      <c r="E49" s="325"/>
      <c r="F49" s="326"/>
      <c r="G49" s="326"/>
      <c r="H49" s="326"/>
      <c r="I49" s="327"/>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R4C3</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3">
      <c r="A50" s="97"/>
      <c r="B50" s="284"/>
      <c r="C50" s="284"/>
      <c r="D50" s="285"/>
      <c r="E50" s="325"/>
      <c r="F50" s="326"/>
      <c r="G50" s="326"/>
      <c r="H50" s="326"/>
      <c r="I50" s="327"/>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R5C4</v>
      </c>
      <c r="Z50" s="82" t="str">
        <f>IF(AND('Mapa final'!$Y$38="Muy Baja",'Mapa final'!$AA$38="Moderado"),CONCATENATE("R5C",'Mapa final'!$O$38),"")</f>
        <v>R5C5</v>
      </c>
      <c r="AA50" s="83" t="str">
        <f>IF(AND('Mapa final'!$Y$39="Muy Baja",'Mapa final'!$AA$39="Moderado"),CONCATENATE("R5C",'Mapa final'!$O$39),"")</f>
        <v>R5C6</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3">
      <c r="A51" s="97"/>
      <c r="B51" s="284"/>
      <c r="C51" s="284"/>
      <c r="D51" s="285"/>
      <c r="E51" s="325"/>
      <c r="F51" s="326"/>
      <c r="G51" s="326"/>
      <c r="H51" s="326"/>
      <c r="I51" s="327"/>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3">
      <c r="A52" s="97"/>
      <c r="B52" s="284"/>
      <c r="C52" s="284"/>
      <c r="D52" s="285"/>
      <c r="E52" s="325"/>
      <c r="F52" s="326"/>
      <c r="G52" s="326"/>
      <c r="H52" s="326"/>
      <c r="I52" s="327"/>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3">
      <c r="A53" s="97"/>
      <c r="B53" s="284"/>
      <c r="C53" s="284"/>
      <c r="D53" s="285"/>
      <c r="E53" s="325"/>
      <c r="F53" s="326"/>
      <c r="G53" s="326"/>
      <c r="H53" s="326"/>
      <c r="I53" s="327"/>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3">
      <c r="A54" s="97"/>
      <c r="B54" s="284"/>
      <c r="C54" s="284"/>
      <c r="D54" s="285"/>
      <c r="E54" s="325"/>
      <c r="F54" s="326"/>
      <c r="G54" s="326"/>
      <c r="H54" s="326"/>
      <c r="I54" s="327"/>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5">
      <c r="A55" s="97"/>
      <c r="B55" s="284"/>
      <c r="C55" s="284"/>
      <c r="D55" s="285"/>
      <c r="E55" s="328"/>
      <c r="F55" s="329"/>
      <c r="G55" s="329"/>
      <c r="H55" s="329"/>
      <c r="I55" s="330"/>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3">
      <c r="A56" s="97"/>
      <c r="B56" s="97"/>
      <c r="C56" s="97"/>
      <c r="D56" s="97"/>
      <c r="E56" s="97"/>
      <c r="F56" s="97"/>
      <c r="G56" s="97"/>
      <c r="H56" s="97"/>
      <c r="I56" s="97"/>
      <c r="J56" s="322" t="s">
        <v>111</v>
      </c>
      <c r="K56" s="323"/>
      <c r="L56" s="323"/>
      <c r="M56" s="323"/>
      <c r="N56" s="323"/>
      <c r="O56" s="324"/>
      <c r="P56" s="322" t="s">
        <v>110</v>
      </c>
      <c r="Q56" s="323"/>
      <c r="R56" s="323"/>
      <c r="S56" s="323"/>
      <c r="T56" s="323"/>
      <c r="U56" s="324"/>
      <c r="V56" s="322" t="s">
        <v>109</v>
      </c>
      <c r="W56" s="323"/>
      <c r="X56" s="323"/>
      <c r="Y56" s="323"/>
      <c r="Z56" s="323"/>
      <c r="AA56" s="324"/>
      <c r="AB56" s="322" t="s">
        <v>108</v>
      </c>
      <c r="AC56" s="331"/>
      <c r="AD56" s="323"/>
      <c r="AE56" s="323"/>
      <c r="AF56" s="323"/>
      <c r="AG56" s="324"/>
      <c r="AH56" s="322" t="s">
        <v>107</v>
      </c>
      <c r="AI56" s="323"/>
      <c r="AJ56" s="323"/>
      <c r="AK56" s="323"/>
      <c r="AL56" s="323"/>
      <c r="AM56" s="324"/>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3">
      <c r="A57" s="97"/>
      <c r="B57" s="97"/>
      <c r="C57" s="97"/>
      <c r="D57" s="97"/>
      <c r="E57" s="97"/>
      <c r="F57" s="97"/>
      <c r="G57" s="97"/>
      <c r="H57" s="97"/>
      <c r="I57" s="97"/>
      <c r="J57" s="325"/>
      <c r="K57" s="326"/>
      <c r="L57" s="326"/>
      <c r="M57" s="326"/>
      <c r="N57" s="326"/>
      <c r="O57" s="327"/>
      <c r="P57" s="325"/>
      <c r="Q57" s="326"/>
      <c r="R57" s="326"/>
      <c r="S57" s="326"/>
      <c r="T57" s="326"/>
      <c r="U57" s="327"/>
      <c r="V57" s="325"/>
      <c r="W57" s="326"/>
      <c r="X57" s="326"/>
      <c r="Y57" s="326"/>
      <c r="Z57" s="326"/>
      <c r="AA57" s="327"/>
      <c r="AB57" s="325"/>
      <c r="AC57" s="326"/>
      <c r="AD57" s="326"/>
      <c r="AE57" s="326"/>
      <c r="AF57" s="326"/>
      <c r="AG57" s="327"/>
      <c r="AH57" s="325"/>
      <c r="AI57" s="326"/>
      <c r="AJ57" s="326"/>
      <c r="AK57" s="326"/>
      <c r="AL57" s="326"/>
      <c r="AM57" s="32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3">
      <c r="A58" s="97"/>
      <c r="B58" s="97"/>
      <c r="C58" s="97"/>
      <c r="D58" s="97"/>
      <c r="E58" s="97"/>
      <c r="F58" s="97"/>
      <c r="G58" s="97"/>
      <c r="H58" s="97"/>
      <c r="I58" s="97"/>
      <c r="J58" s="325"/>
      <c r="K58" s="326"/>
      <c r="L58" s="326"/>
      <c r="M58" s="326"/>
      <c r="N58" s="326"/>
      <c r="O58" s="327"/>
      <c r="P58" s="325"/>
      <c r="Q58" s="326"/>
      <c r="R58" s="326"/>
      <c r="S58" s="326"/>
      <c r="T58" s="326"/>
      <c r="U58" s="327"/>
      <c r="V58" s="325"/>
      <c r="W58" s="326"/>
      <c r="X58" s="326"/>
      <c r="Y58" s="326"/>
      <c r="Z58" s="326"/>
      <c r="AA58" s="327"/>
      <c r="AB58" s="325"/>
      <c r="AC58" s="326"/>
      <c r="AD58" s="326"/>
      <c r="AE58" s="326"/>
      <c r="AF58" s="326"/>
      <c r="AG58" s="327"/>
      <c r="AH58" s="325"/>
      <c r="AI58" s="326"/>
      <c r="AJ58" s="326"/>
      <c r="AK58" s="326"/>
      <c r="AL58" s="326"/>
      <c r="AM58" s="32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3">
      <c r="A59" s="97"/>
      <c r="B59" s="97"/>
      <c r="C59" s="97"/>
      <c r="D59" s="97"/>
      <c r="E59" s="97"/>
      <c r="F59" s="97"/>
      <c r="G59" s="97"/>
      <c r="H59" s="97"/>
      <c r="I59" s="97"/>
      <c r="J59" s="325"/>
      <c r="K59" s="326"/>
      <c r="L59" s="326"/>
      <c r="M59" s="326"/>
      <c r="N59" s="326"/>
      <c r="O59" s="327"/>
      <c r="P59" s="325"/>
      <c r="Q59" s="326"/>
      <c r="R59" s="326"/>
      <c r="S59" s="326"/>
      <c r="T59" s="326"/>
      <c r="U59" s="327"/>
      <c r="V59" s="325"/>
      <c r="W59" s="326"/>
      <c r="X59" s="326"/>
      <c r="Y59" s="326"/>
      <c r="Z59" s="326"/>
      <c r="AA59" s="327"/>
      <c r="AB59" s="325"/>
      <c r="AC59" s="326"/>
      <c r="AD59" s="326"/>
      <c r="AE59" s="326"/>
      <c r="AF59" s="326"/>
      <c r="AG59" s="327"/>
      <c r="AH59" s="325"/>
      <c r="AI59" s="326"/>
      <c r="AJ59" s="326"/>
      <c r="AK59" s="326"/>
      <c r="AL59" s="326"/>
      <c r="AM59" s="32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3">
      <c r="A60" s="97"/>
      <c r="B60" s="97"/>
      <c r="C60" s="97"/>
      <c r="D60" s="97"/>
      <c r="E60" s="97"/>
      <c r="F60" s="97"/>
      <c r="G60" s="97"/>
      <c r="H60" s="97"/>
      <c r="I60" s="97"/>
      <c r="J60" s="325"/>
      <c r="K60" s="326"/>
      <c r="L60" s="326"/>
      <c r="M60" s="326"/>
      <c r="N60" s="326"/>
      <c r="O60" s="327"/>
      <c r="P60" s="325"/>
      <c r="Q60" s="326"/>
      <c r="R60" s="326"/>
      <c r="S60" s="326"/>
      <c r="T60" s="326"/>
      <c r="U60" s="327"/>
      <c r="V60" s="325"/>
      <c r="W60" s="326"/>
      <c r="X60" s="326"/>
      <c r="Y60" s="326"/>
      <c r="Z60" s="326"/>
      <c r="AA60" s="327"/>
      <c r="AB60" s="325"/>
      <c r="AC60" s="326"/>
      <c r="AD60" s="326"/>
      <c r="AE60" s="326"/>
      <c r="AF60" s="326"/>
      <c r="AG60" s="327"/>
      <c r="AH60" s="325"/>
      <c r="AI60" s="326"/>
      <c r="AJ60" s="326"/>
      <c r="AK60" s="326"/>
      <c r="AL60" s="326"/>
      <c r="AM60" s="32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 thickBot="1" x14ac:dyDescent="0.35">
      <c r="A61" s="97"/>
      <c r="B61" s="97"/>
      <c r="C61" s="97"/>
      <c r="D61" s="97"/>
      <c r="E61" s="97"/>
      <c r="F61" s="97"/>
      <c r="G61" s="97"/>
      <c r="H61" s="97"/>
      <c r="I61" s="97"/>
      <c r="J61" s="328"/>
      <c r="K61" s="329"/>
      <c r="L61" s="329"/>
      <c r="M61" s="329"/>
      <c r="N61" s="329"/>
      <c r="O61" s="330"/>
      <c r="P61" s="328"/>
      <c r="Q61" s="329"/>
      <c r="R61" s="329"/>
      <c r="S61" s="329"/>
      <c r="T61" s="329"/>
      <c r="U61" s="330"/>
      <c r="V61" s="328"/>
      <c r="W61" s="329"/>
      <c r="X61" s="329"/>
      <c r="Y61" s="329"/>
      <c r="Z61" s="329"/>
      <c r="AA61" s="330"/>
      <c r="AB61" s="328"/>
      <c r="AC61" s="329"/>
      <c r="AD61" s="329"/>
      <c r="AE61" s="329"/>
      <c r="AF61" s="329"/>
      <c r="AG61" s="330"/>
      <c r="AH61" s="328"/>
      <c r="AI61" s="329"/>
      <c r="AJ61" s="329"/>
      <c r="AK61" s="329"/>
      <c r="AL61" s="329"/>
      <c r="AM61" s="330"/>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3">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3">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3">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3">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3">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3">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3">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3">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3">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3">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3">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3">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3">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3">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3">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3">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3">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3">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3">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3">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3">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3">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3">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3">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3">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3">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3">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3">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3">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3">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3">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3">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3">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3">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3">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3">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3">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3">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3">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3">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3">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3">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3">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3">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3">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3">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3">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3">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3">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3">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3">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3">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3">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3">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3">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3">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3">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3">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3">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3">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3">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3">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3">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3">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3">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3">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3">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3">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3">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3">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3">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3">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3">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3">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3">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3">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3">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3">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3">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3">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3">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3">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3">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3">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3">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3">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3">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3">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3">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3">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3">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3">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3">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3">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3">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3">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3">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3">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3">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3">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3">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3">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3">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3">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3">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3">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3">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3">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3">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3">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3">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3">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3">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3">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3">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3">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3">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3">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3">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3">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3">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3">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3">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3">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3">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3">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3">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3">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3">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3">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3">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3">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3">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3">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3">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3">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3">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3">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3">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3">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3">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3">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3">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3">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3">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3">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3">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3">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3">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3">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3">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3">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3">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3">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3">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3">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3">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3">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3">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3">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3">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3">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3">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3">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3">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3">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3">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3">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3">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3">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3">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3">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3">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3">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3">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3">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3">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3">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3">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3">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3">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3">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3">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3">
      <c r="A245" s="97"/>
    </row>
    <row r="246" spans="1:60" x14ac:dyDescent="0.3">
      <c r="A246" s="97"/>
    </row>
    <row r="247" spans="1:60" x14ac:dyDescent="0.3">
      <c r="A247" s="97"/>
    </row>
    <row r="248" spans="1:60" x14ac:dyDescent="0.3">
      <c r="A248" s="97"/>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7" sqref="C7"/>
    </sheetView>
  </sheetViews>
  <sheetFormatPr baseColWidth="10" defaultRowHeight="14.4" x14ac:dyDescent="0.3"/>
  <cols>
    <col min="2" max="2" width="24.109375" customWidth="1"/>
    <col min="3" max="3" width="70.109375" customWidth="1"/>
    <col min="4" max="4" width="29.88671875" customWidth="1"/>
  </cols>
  <sheetData>
    <row r="1" spans="1:37" ht="23.4" x14ac:dyDescent="0.3">
      <c r="A1" s="97"/>
      <c r="B1" s="371" t="s">
        <v>55</v>
      </c>
      <c r="C1" s="371"/>
      <c r="D1" s="371"/>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3">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2" x14ac:dyDescent="0.3">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0.4" x14ac:dyDescent="0.3">
      <c r="A4" s="97"/>
      <c r="B4" s="13" t="s">
        <v>51</v>
      </c>
      <c r="C4" s="14" t="s">
        <v>101</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0.4" x14ac:dyDescent="0.3">
      <c r="A5" s="97"/>
      <c r="B5" s="16" t="s">
        <v>53</v>
      </c>
      <c r="C5" s="17" t="s">
        <v>102</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0.4" x14ac:dyDescent="0.3">
      <c r="A6" s="97"/>
      <c r="B6" s="19" t="s">
        <v>106</v>
      </c>
      <c r="C6" s="17" t="s">
        <v>103</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5.599999999999994" x14ac:dyDescent="0.3">
      <c r="A7" s="97"/>
      <c r="B7" s="20" t="s">
        <v>6</v>
      </c>
      <c r="C7" s="17" t="s">
        <v>104</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0.4" x14ac:dyDescent="0.3">
      <c r="A8" s="97"/>
      <c r="B8" s="21" t="s">
        <v>54</v>
      </c>
      <c r="C8" s="17" t="s">
        <v>105</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3">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x14ac:dyDescent="0.3">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3">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3">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3">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3">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3">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3">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3">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3">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3">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3">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3">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3">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3">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3">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3">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3">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3">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3">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3">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3">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3">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3">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3">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3">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3">
      <c r="A35" s="97"/>
    </row>
    <row r="36" spans="1:31" x14ac:dyDescent="0.3">
      <c r="A36" s="97"/>
    </row>
    <row r="37" spans="1:31" x14ac:dyDescent="0.3">
      <c r="A37" s="97"/>
    </row>
    <row r="38" spans="1:31" x14ac:dyDescent="0.3">
      <c r="A38" s="97"/>
    </row>
    <row r="39" spans="1:31" x14ac:dyDescent="0.3">
      <c r="A39" s="97"/>
    </row>
    <row r="40" spans="1:31" x14ac:dyDescent="0.3">
      <c r="A40" s="97"/>
    </row>
    <row r="41" spans="1:31" x14ac:dyDescent="0.3">
      <c r="A41" s="97"/>
    </row>
    <row r="42" spans="1:31" x14ac:dyDescent="0.3">
      <c r="A42" s="97"/>
    </row>
    <row r="43" spans="1:31" x14ac:dyDescent="0.3">
      <c r="A43" s="97"/>
    </row>
    <row r="44" spans="1:31" x14ac:dyDescent="0.3">
      <c r="A44" s="97"/>
    </row>
    <row r="45" spans="1:31" x14ac:dyDescent="0.3">
      <c r="A45" s="97"/>
    </row>
    <row r="46" spans="1:31" x14ac:dyDescent="0.3">
      <c r="A46" s="97"/>
    </row>
    <row r="47" spans="1:31" x14ac:dyDescent="0.3">
      <c r="A47" s="97"/>
    </row>
    <row r="48" spans="1:31" x14ac:dyDescent="0.3">
      <c r="A48" s="97"/>
    </row>
    <row r="49" spans="1:1" x14ac:dyDescent="0.3">
      <c r="A49" s="97"/>
    </row>
    <row r="50" spans="1:1" x14ac:dyDescent="0.3">
      <c r="A50" s="97"/>
    </row>
    <row r="51" spans="1:1" x14ac:dyDescent="0.3">
      <c r="A51" s="97"/>
    </row>
    <row r="52" spans="1:1" x14ac:dyDescent="0.3">
      <c r="A52" s="97"/>
    </row>
    <row r="53" spans="1:1" x14ac:dyDescent="0.3">
      <c r="A53" s="97"/>
    </row>
    <row r="54" spans="1:1" x14ac:dyDescent="0.3">
      <c r="A54" s="97"/>
    </row>
    <row r="55" spans="1:1" x14ac:dyDescent="0.3">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C6" sqref="C6"/>
    </sheetView>
  </sheetViews>
  <sheetFormatPr baseColWidth="10" defaultRowHeight="14.4" x14ac:dyDescent="0.3"/>
  <cols>
    <col min="2" max="2" width="40.44140625" customWidth="1"/>
    <col min="3" max="3" width="74.88671875" customWidth="1"/>
    <col min="4" max="4" width="135" bestFit="1" customWidth="1"/>
    <col min="5" max="5" width="144.6640625" bestFit="1" customWidth="1"/>
  </cols>
  <sheetData>
    <row r="1" spans="1:21" ht="32.4" x14ac:dyDescent="0.3">
      <c r="A1" s="97"/>
      <c r="B1" s="372" t="s">
        <v>63</v>
      </c>
      <c r="C1" s="372"/>
      <c r="D1" s="372"/>
      <c r="E1" s="97"/>
      <c r="F1" s="97"/>
      <c r="G1" s="97"/>
      <c r="H1" s="97"/>
      <c r="I1" s="97"/>
      <c r="J1" s="97"/>
      <c r="K1" s="97"/>
      <c r="L1" s="97"/>
      <c r="M1" s="97"/>
      <c r="N1" s="97"/>
      <c r="O1" s="97"/>
      <c r="P1" s="97"/>
      <c r="Q1" s="97"/>
      <c r="R1" s="97"/>
      <c r="S1" s="97"/>
      <c r="T1" s="97"/>
      <c r="U1" s="97"/>
    </row>
    <row r="2" spans="1:21" x14ac:dyDescent="0.3">
      <c r="A2" s="97"/>
      <c r="B2" s="97"/>
      <c r="C2" s="97"/>
      <c r="D2" s="97"/>
      <c r="E2" s="97"/>
      <c r="F2" s="97"/>
      <c r="G2" s="97"/>
      <c r="H2" s="97"/>
      <c r="I2" s="97"/>
      <c r="J2" s="97"/>
      <c r="K2" s="97"/>
      <c r="L2" s="97"/>
      <c r="M2" s="97"/>
      <c r="N2" s="97"/>
      <c r="O2" s="97"/>
      <c r="P2" s="97"/>
      <c r="Q2" s="97"/>
      <c r="R2" s="97"/>
      <c r="S2" s="97"/>
      <c r="T2" s="97"/>
      <c r="U2" s="97"/>
    </row>
    <row r="3" spans="1:21" ht="30" x14ac:dyDescent="0.3">
      <c r="A3" s="97"/>
      <c r="B3" s="118"/>
      <c r="C3" s="38" t="s">
        <v>56</v>
      </c>
      <c r="D3" s="38" t="s">
        <v>57</v>
      </c>
      <c r="E3" s="97"/>
      <c r="F3" s="97"/>
      <c r="G3" s="97"/>
      <c r="H3" s="97"/>
      <c r="I3" s="97"/>
      <c r="J3" s="97"/>
      <c r="K3" s="97"/>
      <c r="L3" s="97"/>
      <c r="M3" s="97"/>
      <c r="N3" s="97"/>
      <c r="O3" s="97"/>
      <c r="P3" s="97"/>
      <c r="Q3" s="97"/>
      <c r="R3" s="97"/>
      <c r="S3" s="97"/>
      <c r="T3" s="97"/>
      <c r="U3" s="97"/>
    </row>
    <row r="4" spans="1:21" ht="32.4" x14ac:dyDescent="0.3">
      <c r="A4" s="117">
        <v>1</v>
      </c>
      <c r="B4" s="41" t="s">
        <v>100</v>
      </c>
      <c r="C4" s="46" t="s">
        <v>157</v>
      </c>
      <c r="D4" s="39" t="s">
        <v>96</v>
      </c>
      <c r="E4" s="97"/>
      <c r="F4" s="97"/>
      <c r="G4" s="97"/>
      <c r="H4" s="97"/>
      <c r="I4" s="97"/>
      <c r="J4" s="97"/>
      <c r="K4" s="97"/>
      <c r="L4" s="97"/>
      <c r="M4" s="97"/>
      <c r="N4" s="97"/>
      <c r="O4" s="97"/>
      <c r="P4" s="97"/>
      <c r="Q4" s="97"/>
      <c r="R4" s="97"/>
      <c r="S4" s="97"/>
      <c r="T4" s="97"/>
      <c r="U4" s="97"/>
    </row>
    <row r="5" spans="1:21" ht="64.8" x14ac:dyDescent="0.3">
      <c r="A5" s="117" t="s">
        <v>83</v>
      </c>
      <c r="B5" s="42" t="s">
        <v>59</v>
      </c>
      <c r="C5" s="47" t="s">
        <v>92</v>
      </c>
      <c r="D5" s="40" t="s">
        <v>97</v>
      </c>
      <c r="E5" s="97"/>
      <c r="F5" s="97"/>
      <c r="G5" s="97"/>
      <c r="H5" s="97"/>
      <c r="I5" s="97"/>
      <c r="J5" s="97"/>
      <c r="K5" s="97"/>
      <c r="L5" s="97"/>
      <c r="M5" s="97"/>
      <c r="N5" s="97"/>
      <c r="O5" s="97"/>
      <c r="P5" s="97"/>
      <c r="Q5" s="97"/>
      <c r="R5" s="97"/>
      <c r="S5" s="97"/>
      <c r="T5" s="97"/>
      <c r="U5" s="97"/>
    </row>
    <row r="6" spans="1:21" ht="64.8" x14ac:dyDescent="0.3">
      <c r="A6" s="117">
        <v>2</v>
      </c>
      <c r="B6" s="43" t="s">
        <v>60</v>
      </c>
      <c r="C6" s="47" t="s">
        <v>93</v>
      </c>
      <c r="D6" s="40" t="s">
        <v>99</v>
      </c>
      <c r="E6" s="97"/>
      <c r="F6" s="97"/>
      <c r="G6" s="97"/>
      <c r="H6" s="97"/>
      <c r="I6" s="97"/>
      <c r="J6" s="97"/>
      <c r="K6" s="97"/>
      <c r="L6" s="97"/>
      <c r="M6" s="97"/>
      <c r="N6" s="97"/>
      <c r="O6" s="97"/>
      <c r="P6" s="97"/>
      <c r="Q6" s="97"/>
      <c r="R6" s="97"/>
      <c r="S6" s="97"/>
      <c r="T6" s="97"/>
      <c r="U6" s="97"/>
    </row>
    <row r="7" spans="1:21" ht="97.2" x14ac:dyDescent="0.3">
      <c r="A7" s="117" t="s">
        <v>7</v>
      </c>
      <c r="B7" s="44" t="s">
        <v>61</v>
      </c>
      <c r="C7" s="47" t="s">
        <v>94</v>
      </c>
      <c r="D7" s="40" t="s">
        <v>98</v>
      </c>
      <c r="E7" s="97"/>
      <c r="F7" s="97"/>
      <c r="G7" s="97"/>
      <c r="H7" s="97"/>
      <c r="I7" s="97"/>
      <c r="J7" s="97"/>
      <c r="K7" s="97"/>
      <c r="L7" s="97"/>
      <c r="M7" s="97"/>
      <c r="N7" s="97"/>
      <c r="O7" s="97"/>
      <c r="P7" s="97"/>
      <c r="Q7" s="97"/>
      <c r="R7" s="97"/>
      <c r="S7" s="97"/>
      <c r="T7" s="97"/>
      <c r="U7" s="97"/>
    </row>
    <row r="8" spans="1:21" ht="64.8" x14ac:dyDescent="0.3">
      <c r="A8" s="117" t="s">
        <v>84</v>
      </c>
      <c r="B8" s="45" t="s">
        <v>62</v>
      </c>
      <c r="C8" s="47" t="s">
        <v>95</v>
      </c>
      <c r="D8" s="40" t="s">
        <v>117</v>
      </c>
      <c r="E8" s="97"/>
      <c r="F8" s="97"/>
      <c r="G8" s="97"/>
      <c r="H8" s="97"/>
      <c r="I8" s="97"/>
      <c r="J8" s="97"/>
      <c r="K8" s="97"/>
      <c r="L8" s="97"/>
      <c r="M8" s="97"/>
      <c r="N8" s="97"/>
      <c r="O8" s="97"/>
      <c r="P8" s="97"/>
      <c r="Q8" s="97"/>
      <c r="R8" s="97"/>
      <c r="S8" s="97"/>
      <c r="T8" s="97"/>
      <c r="U8" s="97"/>
    </row>
    <row r="9" spans="1:21" ht="20.399999999999999" x14ac:dyDescent="0.3">
      <c r="A9" s="117"/>
      <c r="B9" s="117"/>
      <c r="C9" s="119"/>
      <c r="D9" s="119"/>
      <c r="E9" s="97"/>
      <c r="F9" s="97"/>
      <c r="G9" s="97"/>
      <c r="H9" s="97"/>
      <c r="I9" s="97"/>
      <c r="J9" s="97"/>
      <c r="K9" s="97"/>
      <c r="L9" s="97"/>
      <c r="M9" s="97"/>
      <c r="N9" s="97"/>
      <c r="O9" s="97"/>
      <c r="P9" s="97"/>
      <c r="Q9" s="97"/>
      <c r="R9" s="97"/>
      <c r="S9" s="97"/>
      <c r="T9" s="97"/>
      <c r="U9" s="97"/>
    </row>
    <row r="10" spans="1:21" x14ac:dyDescent="0.3">
      <c r="A10" s="117"/>
      <c r="B10" s="120"/>
      <c r="C10" s="120"/>
      <c r="D10" s="120"/>
      <c r="E10" s="97"/>
      <c r="F10" s="97"/>
      <c r="G10" s="97"/>
      <c r="H10" s="97"/>
      <c r="I10" s="97"/>
      <c r="J10" s="97"/>
      <c r="K10" s="97"/>
      <c r="L10" s="97"/>
      <c r="M10" s="97"/>
      <c r="N10" s="97"/>
      <c r="O10" s="97"/>
      <c r="P10" s="97"/>
      <c r="Q10" s="97"/>
      <c r="R10" s="97"/>
      <c r="S10" s="97"/>
      <c r="T10" s="97"/>
      <c r="U10" s="97"/>
    </row>
    <row r="11" spans="1:21" x14ac:dyDescent="0.3">
      <c r="A11" s="117"/>
      <c r="B11" s="117" t="s">
        <v>90</v>
      </c>
      <c r="C11" s="117" t="s">
        <v>145</v>
      </c>
      <c r="D11" s="117" t="s">
        <v>152</v>
      </c>
      <c r="E11" s="97"/>
      <c r="F11" s="97"/>
      <c r="G11" s="97"/>
      <c r="H11" s="97"/>
      <c r="I11" s="97"/>
      <c r="J11" s="97"/>
      <c r="K11" s="97"/>
      <c r="L11" s="97"/>
      <c r="M11" s="97"/>
      <c r="N11" s="97"/>
      <c r="O11" s="97"/>
      <c r="P11" s="97"/>
      <c r="Q11" s="97"/>
      <c r="R11" s="97"/>
      <c r="S11" s="97"/>
      <c r="T11" s="97"/>
      <c r="U11" s="97"/>
    </row>
    <row r="12" spans="1:21" x14ac:dyDescent="0.3">
      <c r="A12" s="117"/>
      <c r="B12" s="117" t="s">
        <v>88</v>
      </c>
      <c r="C12" s="117" t="s">
        <v>149</v>
      </c>
      <c r="D12" s="117" t="s">
        <v>153</v>
      </c>
      <c r="E12" s="97"/>
      <c r="F12" s="97"/>
      <c r="G12" s="97"/>
      <c r="H12" s="97"/>
      <c r="I12" s="97"/>
      <c r="J12" s="97"/>
      <c r="K12" s="97"/>
      <c r="L12" s="97"/>
      <c r="M12" s="97"/>
      <c r="N12" s="97"/>
      <c r="O12" s="97"/>
      <c r="P12" s="97"/>
      <c r="Q12" s="97"/>
      <c r="R12" s="97"/>
      <c r="S12" s="97"/>
      <c r="T12" s="97"/>
      <c r="U12" s="97"/>
    </row>
    <row r="13" spans="1:21" x14ac:dyDescent="0.3">
      <c r="A13" s="117"/>
      <c r="B13" s="117"/>
      <c r="C13" s="117" t="s">
        <v>148</v>
      </c>
      <c r="D13" s="117" t="s">
        <v>154</v>
      </c>
      <c r="E13" s="97"/>
      <c r="F13" s="97"/>
      <c r="G13" s="97"/>
      <c r="H13" s="97"/>
      <c r="I13" s="97"/>
      <c r="J13" s="97"/>
      <c r="K13" s="97"/>
      <c r="L13" s="97"/>
      <c r="M13" s="97"/>
      <c r="N13" s="97"/>
      <c r="O13" s="97"/>
      <c r="P13" s="97"/>
      <c r="Q13" s="97"/>
      <c r="R13" s="97"/>
      <c r="S13" s="97"/>
      <c r="T13" s="97"/>
      <c r="U13" s="97"/>
    </row>
    <row r="14" spans="1:21" x14ac:dyDescent="0.3">
      <c r="A14" s="117"/>
      <c r="B14" s="117"/>
      <c r="C14" s="117" t="s">
        <v>150</v>
      </c>
      <c r="D14" s="117" t="s">
        <v>155</v>
      </c>
      <c r="E14" s="97"/>
      <c r="F14" s="97"/>
      <c r="G14" s="97"/>
      <c r="H14" s="97"/>
      <c r="I14" s="97"/>
      <c r="J14" s="97"/>
      <c r="K14" s="97"/>
      <c r="L14" s="97"/>
      <c r="M14" s="97"/>
      <c r="N14" s="97"/>
      <c r="O14" s="97"/>
      <c r="P14" s="97"/>
      <c r="Q14" s="97"/>
      <c r="R14" s="97"/>
      <c r="S14" s="97"/>
      <c r="T14" s="97"/>
      <c r="U14" s="97"/>
    </row>
    <row r="15" spans="1:21" x14ac:dyDescent="0.3">
      <c r="A15" s="117"/>
      <c r="B15" s="117"/>
      <c r="C15" s="117" t="s">
        <v>151</v>
      </c>
      <c r="D15" s="117" t="s">
        <v>156</v>
      </c>
      <c r="E15" s="97"/>
      <c r="F15" s="97"/>
      <c r="G15" s="97"/>
      <c r="H15" s="97"/>
      <c r="I15" s="97"/>
      <c r="J15" s="97"/>
      <c r="K15" s="97"/>
      <c r="L15" s="97"/>
      <c r="M15" s="97"/>
      <c r="N15" s="97"/>
      <c r="O15" s="97"/>
      <c r="P15" s="97"/>
      <c r="Q15" s="97"/>
      <c r="R15" s="97"/>
      <c r="S15" s="97"/>
      <c r="T15" s="97"/>
      <c r="U15" s="97"/>
    </row>
    <row r="16" spans="1:21" x14ac:dyDescent="0.3">
      <c r="A16" s="117"/>
      <c r="B16" s="117"/>
      <c r="C16" s="117"/>
      <c r="D16" s="117"/>
      <c r="E16" s="97"/>
      <c r="F16" s="97"/>
      <c r="G16" s="97"/>
      <c r="H16" s="97"/>
      <c r="I16" s="97"/>
      <c r="J16" s="97"/>
      <c r="K16" s="97"/>
      <c r="L16" s="97"/>
      <c r="M16" s="97"/>
      <c r="N16" s="97"/>
      <c r="O16" s="97"/>
    </row>
    <row r="17" spans="1:15" x14ac:dyDescent="0.3">
      <c r="A17" s="117"/>
      <c r="B17" s="117"/>
      <c r="C17" s="117"/>
      <c r="D17" s="117"/>
      <c r="E17" s="97"/>
      <c r="F17" s="97"/>
      <c r="G17" s="97"/>
      <c r="H17" s="97"/>
      <c r="I17" s="97"/>
      <c r="J17" s="97"/>
      <c r="K17" s="97"/>
      <c r="L17" s="97"/>
      <c r="M17" s="97"/>
      <c r="N17" s="97"/>
      <c r="O17" s="97"/>
    </row>
    <row r="18" spans="1:15" x14ac:dyDescent="0.3">
      <c r="A18" s="117"/>
      <c r="B18" s="121"/>
      <c r="C18" s="121"/>
      <c r="D18" s="121"/>
      <c r="E18" s="97"/>
      <c r="F18" s="97"/>
      <c r="G18" s="97"/>
      <c r="H18" s="97"/>
      <c r="I18" s="97"/>
      <c r="J18" s="97"/>
      <c r="K18" s="97"/>
      <c r="L18" s="97"/>
      <c r="M18" s="97"/>
      <c r="N18" s="97"/>
      <c r="O18" s="97"/>
    </row>
    <row r="19" spans="1:15" x14ac:dyDescent="0.3">
      <c r="A19" s="117"/>
      <c r="B19" s="121"/>
      <c r="C19" s="121"/>
      <c r="D19" s="121"/>
      <c r="E19" s="97"/>
      <c r="F19" s="97"/>
      <c r="G19" s="97"/>
      <c r="H19" s="97"/>
      <c r="I19" s="97"/>
      <c r="J19" s="97"/>
      <c r="K19" s="97"/>
      <c r="L19" s="97"/>
      <c r="M19" s="97"/>
      <c r="N19" s="97"/>
      <c r="O19" s="97"/>
    </row>
    <row r="20" spans="1:15" x14ac:dyDescent="0.3">
      <c r="A20" s="117"/>
      <c r="B20" s="121"/>
      <c r="C20" s="121"/>
      <c r="D20" s="121"/>
      <c r="E20" s="97"/>
      <c r="F20" s="97"/>
      <c r="G20" s="97"/>
      <c r="H20" s="97"/>
      <c r="I20" s="97"/>
      <c r="J20" s="97"/>
      <c r="K20" s="97"/>
      <c r="L20" s="97"/>
      <c r="M20" s="97"/>
      <c r="N20" s="97"/>
      <c r="O20" s="97"/>
    </row>
    <row r="21" spans="1:15" x14ac:dyDescent="0.3">
      <c r="A21" s="117"/>
      <c r="B21" s="121"/>
      <c r="C21" s="121"/>
      <c r="D21" s="121"/>
      <c r="E21" s="97"/>
      <c r="F21" s="97"/>
      <c r="G21" s="97"/>
      <c r="H21" s="97"/>
      <c r="I21" s="97"/>
      <c r="J21" s="97"/>
      <c r="K21" s="97"/>
      <c r="L21" s="97"/>
      <c r="M21" s="97"/>
      <c r="N21" s="97"/>
      <c r="O21" s="97"/>
    </row>
    <row r="22" spans="1:15" ht="20.399999999999999" x14ac:dyDescent="0.3">
      <c r="A22" s="117"/>
      <c r="B22" s="117"/>
      <c r="C22" s="119"/>
      <c r="D22" s="119"/>
      <c r="E22" s="97"/>
      <c r="F22" s="97"/>
      <c r="G22" s="97"/>
      <c r="H22" s="97"/>
      <c r="I22" s="97"/>
      <c r="J22" s="97"/>
      <c r="K22" s="97"/>
      <c r="L22" s="97"/>
      <c r="M22" s="97"/>
      <c r="N22" s="97"/>
      <c r="O22" s="97"/>
    </row>
    <row r="23" spans="1:15" ht="20.399999999999999" x14ac:dyDescent="0.3">
      <c r="A23" s="117"/>
      <c r="B23" s="117"/>
      <c r="C23" s="119"/>
      <c r="D23" s="119"/>
      <c r="E23" s="97"/>
      <c r="F23" s="97"/>
      <c r="G23" s="97"/>
      <c r="H23" s="97"/>
      <c r="I23" s="97"/>
      <c r="J23" s="97"/>
      <c r="K23" s="97"/>
      <c r="L23" s="97"/>
      <c r="M23" s="97"/>
      <c r="N23" s="97"/>
      <c r="O23" s="97"/>
    </row>
    <row r="24" spans="1:15" ht="20.399999999999999" x14ac:dyDescent="0.3">
      <c r="A24" s="117"/>
      <c r="B24" s="117"/>
      <c r="C24" s="119"/>
      <c r="D24" s="119"/>
      <c r="E24" s="97"/>
      <c r="F24" s="97"/>
      <c r="G24" s="97"/>
      <c r="H24" s="97"/>
      <c r="I24" s="97"/>
      <c r="J24" s="97"/>
      <c r="K24" s="97"/>
      <c r="L24" s="97"/>
      <c r="M24" s="97"/>
      <c r="N24" s="97"/>
      <c r="O24" s="97"/>
    </row>
    <row r="25" spans="1:15" ht="20.399999999999999" x14ac:dyDescent="0.3">
      <c r="A25" s="117"/>
      <c r="B25" s="117"/>
      <c r="C25" s="119"/>
      <c r="D25" s="119"/>
      <c r="E25" s="97"/>
      <c r="F25" s="97"/>
      <c r="G25" s="97"/>
      <c r="H25" s="97"/>
      <c r="I25" s="97"/>
      <c r="J25" s="97"/>
      <c r="K25" s="97"/>
      <c r="L25" s="97"/>
      <c r="M25" s="97"/>
      <c r="N25" s="97"/>
      <c r="O25" s="97"/>
    </row>
    <row r="26" spans="1:15" ht="20.399999999999999" x14ac:dyDescent="0.3">
      <c r="A26" s="117"/>
      <c r="B26" s="117"/>
      <c r="C26" s="119"/>
      <c r="D26" s="119"/>
      <c r="E26" s="97"/>
      <c r="F26" s="97"/>
      <c r="G26" s="97"/>
      <c r="H26" s="97"/>
      <c r="I26" s="97"/>
      <c r="J26" s="97"/>
      <c r="K26" s="97"/>
      <c r="L26" s="97"/>
      <c r="M26" s="97"/>
      <c r="N26" s="97"/>
      <c r="O26" s="97"/>
    </row>
    <row r="27" spans="1:15" ht="20.399999999999999" x14ac:dyDescent="0.3">
      <c r="A27" s="117"/>
      <c r="B27" s="117"/>
      <c r="C27" s="119"/>
      <c r="D27" s="119"/>
      <c r="E27" s="97"/>
      <c r="F27" s="97"/>
      <c r="G27" s="97"/>
      <c r="H27" s="97"/>
      <c r="I27" s="97"/>
      <c r="J27" s="97"/>
      <c r="K27" s="97"/>
      <c r="L27" s="97"/>
      <c r="M27" s="97"/>
      <c r="N27" s="97"/>
      <c r="O27" s="97"/>
    </row>
    <row r="28" spans="1:15" ht="20.399999999999999" x14ac:dyDescent="0.3">
      <c r="A28" s="117"/>
      <c r="B28" s="117"/>
      <c r="C28" s="119"/>
      <c r="D28" s="119"/>
      <c r="E28" s="97"/>
      <c r="F28" s="97"/>
      <c r="G28" s="97"/>
      <c r="H28" s="97"/>
      <c r="I28" s="97"/>
      <c r="J28" s="97"/>
      <c r="K28" s="97"/>
      <c r="L28" s="97"/>
      <c r="M28" s="97"/>
      <c r="N28" s="97"/>
      <c r="O28" s="97"/>
    </row>
    <row r="29" spans="1:15" ht="20.399999999999999" x14ac:dyDescent="0.3">
      <c r="A29" s="117"/>
      <c r="B29" s="117"/>
      <c r="C29" s="119"/>
      <c r="D29" s="119"/>
      <c r="E29" s="97"/>
      <c r="F29" s="97"/>
      <c r="G29" s="97"/>
      <c r="H29" s="97"/>
      <c r="I29" s="97"/>
      <c r="J29" s="97"/>
      <c r="K29" s="97"/>
      <c r="L29" s="97"/>
      <c r="M29" s="97"/>
      <c r="N29" s="97"/>
      <c r="O29" s="97"/>
    </row>
    <row r="30" spans="1:15" ht="20.399999999999999" x14ac:dyDescent="0.3">
      <c r="A30" s="117"/>
      <c r="B30" s="117"/>
      <c r="C30" s="119"/>
      <c r="D30" s="119"/>
      <c r="E30" s="97"/>
      <c r="F30" s="97"/>
      <c r="G30" s="97"/>
      <c r="H30" s="97"/>
      <c r="I30" s="97"/>
      <c r="J30" s="97"/>
      <c r="K30" s="97"/>
      <c r="L30" s="97"/>
      <c r="M30" s="97"/>
      <c r="N30" s="97"/>
      <c r="O30" s="97"/>
    </row>
    <row r="31" spans="1:15" ht="20.399999999999999" x14ac:dyDescent="0.3">
      <c r="A31" s="117"/>
      <c r="B31" s="117"/>
      <c r="C31" s="119"/>
      <c r="D31" s="119"/>
      <c r="E31" s="97"/>
      <c r="F31" s="97"/>
      <c r="G31" s="97"/>
      <c r="H31" s="97"/>
      <c r="I31" s="97"/>
      <c r="J31" s="97"/>
      <c r="K31" s="97"/>
      <c r="L31" s="97"/>
      <c r="M31" s="97"/>
      <c r="N31" s="97"/>
      <c r="O31" s="97"/>
    </row>
    <row r="32" spans="1:15" ht="20.399999999999999" x14ac:dyDescent="0.3">
      <c r="A32" s="117"/>
      <c r="B32" s="117"/>
      <c r="C32" s="119"/>
      <c r="D32" s="119"/>
      <c r="E32" s="97"/>
      <c r="F32" s="97"/>
      <c r="G32" s="97"/>
      <c r="H32" s="97"/>
      <c r="I32" s="97"/>
      <c r="J32" s="97"/>
      <c r="K32" s="97"/>
      <c r="L32" s="97"/>
      <c r="M32" s="97"/>
      <c r="N32" s="97"/>
      <c r="O32" s="97"/>
    </row>
    <row r="33" spans="1:15" ht="20.399999999999999" x14ac:dyDescent="0.3">
      <c r="A33" s="117"/>
      <c r="B33" s="117"/>
      <c r="C33" s="119"/>
      <c r="D33" s="119"/>
      <c r="E33" s="97"/>
      <c r="F33" s="97"/>
      <c r="G33" s="97"/>
      <c r="H33" s="97"/>
      <c r="I33" s="97"/>
      <c r="J33" s="97"/>
      <c r="K33" s="97"/>
      <c r="L33" s="97"/>
      <c r="M33" s="97"/>
      <c r="N33" s="97"/>
      <c r="O33" s="97"/>
    </row>
    <row r="34" spans="1:15" ht="20.399999999999999" x14ac:dyDescent="0.3">
      <c r="A34" s="117"/>
      <c r="B34" s="117"/>
      <c r="C34" s="119"/>
      <c r="D34" s="119"/>
      <c r="E34" s="97"/>
      <c r="F34" s="97"/>
      <c r="G34" s="97"/>
      <c r="H34" s="97"/>
      <c r="I34" s="97"/>
      <c r="J34" s="97"/>
      <c r="K34" s="97"/>
      <c r="L34" s="97"/>
      <c r="M34" s="97"/>
      <c r="N34" s="97"/>
      <c r="O34" s="97"/>
    </row>
    <row r="35" spans="1:15" ht="20.399999999999999" x14ac:dyDescent="0.3">
      <c r="A35" s="117"/>
      <c r="B35" s="117"/>
      <c r="C35" s="119"/>
      <c r="D35" s="119"/>
      <c r="E35" s="97"/>
      <c r="F35" s="97"/>
      <c r="G35" s="97"/>
      <c r="H35" s="97"/>
      <c r="I35" s="97"/>
      <c r="J35" s="97"/>
      <c r="K35" s="97"/>
      <c r="L35" s="97"/>
      <c r="M35" s="97"/>
      <c r="N35" s="97"/>
      <c r="O35" s="97"/>
    </row>
    <row r="36" spans="1:15" ht="20.399999999999999" x14ac:dyDescent="0.3">
      <c r="A36" s="117"/>
      <c r="B36" s="117"/>
      <c r="C36" s="119"/>
      <c r="D36" s="119"/>
      <c r="E36" s="97"/>
      <c r="F36" s="97"/>
      <c r="G36" s="97"/>
      <c r="H36" s="97"/>
      <c r="I36" s="97"/>
      <c r="J36" s="97"/>
      <c r="K36" s="97"/>
      <c r="L36" s="97"/>
      <c r="M36" s="97"/>
      <c r="N36" s="97"/>
      <c r="O36" s="97"/>
    </row>
    <row r="37" spans="1:15" ht="20.399999999999999" x14ac:dyDescent="0.3">
      <c r="A37" s="117"/>
      <c r="B37" s="117"/>
      <c r="C37" s="119"/>
      <c r="D37" s="119"/>
      <c r="E37" s="97"/>
      <c r="F37" s="97"/>
      <c r="G37" s="97"/>
      <c r="H37" s="97"/>
      <c r="I37" s="97"/>
      <c r="J37" s="97"/>
      <c r="K37" s="97"/>
      <c r="L37" s="97"/>
      <c r="M37" s="97"/>
      <c r="N37" s="97"/>
      <c r="O37" s="97"/>
    </row>
    <row r="38" spans="1:15" ht="20.399999999999999" x14ac:dyDescent="0.3">
      <c r="A38" s="117"/>
      <c r="B38" s="117"/>
      <c r="C38" s="119"/>
      <c r="D38" s="119"/>
      <c r="E38" s="97"/>
      <c r="F38" s="97"/>
      <c r="G38" s="97"/>
      <c r="H38" s="97"/>
      <c r="I38" s="97"/>
      <c r="J38" s="97"/>
      <c r="K38" s="97"/>
      <c r="L38" s="97"/>
      <c r="M38" s="97"/>
      <c r="N38" s="97"/>
      <c r="O38" s="97"/>
    </row>
    <row r="39" spans="1:15" ht="20.399999999999999" x14ac:dyDescent="0.3">
      <c r="A39" s="117"/>
      <c r="B39" s="117"/>
      <c r="C39" s="119"/>
      <c r="D39" s="119"/>
      <c r="E39" s="97"/>
      <c r="F39" s="97"/>
      <c r="G39" s="97"/>
      <c r="H39" s="97"/>
      <c r="I39" s="97"/>
      <c r="J39" s="97"/>
      <c r="K39" s="97"/>
      <c r="L39" s="97"/>
      <c r="M39" s="97"/>
      <c r="N39" s="97"/>
      <c r="O39" s="97"/>
    </row>
    <row r="40" spans="1:15" ht="20.399999999999999" x14ac:dyDescent="0.3">
      <c r="A40" s="117"/>
      <c r="B40" s="117"/>
      <c r="C40" s="119"/>
      <c r="D40" s="119"/>
      <c r="E40" s="97"/>
      <c r="F40" s="97"/>
      <c r="G40" s="97"/>
      <c r="H40" s="97"/>
      <c r="I40" s="97"/>
      <c r="J40" s="97"/>
      <c r="K40" s="97"/>
      <c r="L40" s="97"/>
      <c r="M40" s="97"/>
      <c r="N40" s="97"/>
      <c r="O40" s="97"/>
    </row>
    <row r="41" spans="1:15" ht="20.399999999999999" x14ac:dyDescent="0.3">
      <c r="A41" s="117"/>
      <c r="B41" s="117"/>
      <c r="C41" s="119"/>
      <c r="D41" s="119"/>
      <c r="E41" s="97"/>
      <c r="F41" s="97"/>
      <c r="G41" s="97"/>
      <c r="H41" s="97"/>
      <c r="I41" s="97"/>
      <c r="J41" s="97"/>
      <c r="K41" s="97"/>
      <c r="L41" s="97"/>
      <c r="M41" s="97"/>
      <c r="N41" s="97"/>
      <c r="O41" s="97"/>
    </row>
    <row r="42" spans="1:15" ht="20.399999999999999" x14ac:dyDescent="0.3">
      <c r="A42" s="117"/>
      <c r="B42" s="117"/>
      <c r="C42" s="119"/>
      <c r="D42" s="119"/>
      <c r="E42" s="97"/>
      <c r="F42" s="97"/>
      <c r="G42" s="97"/>
      <c r="H42" s="97"/>
      <c r="I42" s="97"/>
      <c r="J42" s="97"/>
      <c r="K42" s="97"/>
      <c r="L42" s="97"/>
      <c r="M42" s="97"/>
      <c r="N42" s="97"/>
      <c r="O42" s="97"/>
    </row>
    <row r="43" spans="1:15" ht="20.399999999999999" x14ac:dyDescent="0.3">
      <c r="A43" s="117"/>
      <c r="B43" s="117"/>
      <c r="C43" s="119"/>
      <c r="D43" s="119"/>
      <c r="E43" s="97"/>
      <c r="F43" s="97"/>
      <c r="G43" s="97"/>
      <c r="H43" s="97"/>
      <c r="I43" s="97"/>
      <c r="J43" s="97"/>
      <c r="K43" s="97"/>
      <c r="L43" s="97"/>
      <c r="M43" s="97"/>
      <c r="N43" s="97"/>
      <c r="O43" s="97"/>
    </row>
    <row r="44" spans="1:15" ht="20.399999999999999" x14ac:dyDescent="0.3">
      <c r="A44" s="117"/>
      <c r="B44" s="117"/>
      <c r="C44" s="119"/>
      <c r="D44" s="119"/>
      <c r="E44" s="97"/>
      <c r="F44" s="97"/>
      <c r="G44" s="97"/>
      <c r="H44" s="97"/>
      <c r="I44" s="97"/>
      <c r="J44" s="97"/>
      <c r="K44" s="97"/>
      <c r="L44" s="97"/>
      <c r="M44" s="97"/>
      <c r="N44" s="97"/>
      <c r="O44" s="97"/>
    </row>
    <row r="45" spans="1:15" ht="20.399999999999999" x14ac:dyDescent="0.3">
      <c r="A45" s="117"/>
      <c r="B45" s="117"/>
      <c r="C45" s="119"/>
      <c r="D45" s="119"/>
      <c r="E45" s="97"/>
      <c r="F45" s="97"/>
      <c r="G45" s="97"/>
      <c r="H45" s="97"/>
      <c r="I45" s="97"/>
      <c r="J45" s="97"/>
      <c r="K45" s="97"/>
      <c r="L45" s="97"/>
      <c r="M45" s="97"/>
      <c r="N45" s="97"/>
      <c r="O45" s="97"/>
    </row>
    <row r="46" spans="1:15" ht="20.399999999999999" x14ac:dyDescent="0.3">
      <c r="A46" s="117"/>
      <c r="B46" s="117"/>
      <c r="C46" s="119"/>
      <c r="D46" s="119"/>
      <c r="E46" s="97"/>
      <c r="F46" s="97"/>
      <c r="G46" s="97"/>
      <c r="H46" s="97"/>
      <c r="I46" s="97"/>
      <c r="J46" s="97"/>
      <c r="K46" s="97"/>
      <c r="L46" s="97"/>
      <c r="M46" s="97"/>
      <c r="N46" s="97"/>
      <c r="O46" s="97"/>
    </row>
    <row r="47" spans="1:15" ht="20.399999999999999" x14ac:dyDescent="0.3">
      <c r="A47" s="117"/>
      <c r="B47" s="117"/>
      <c r="C47" s="119"/>
      <c r="D47" s="119"/>
      <c r="E47" s="97"/>
      <c r="F47" s="97"/>
      <c r="G47" s="97"/>
      <c r="H47" s="97"/>
      <c r="I47" s="97"/>
      <c r="J47" s="97"/>
      <c r="K47" s="97"/>
      <c r="L47" s="97"/>
      <c r="M47" s="97"/>
      <c r="N47" s="97"/>
      <c r="O47" s="97"/>
    </row>
    <row r="48" spans="1:15" ht="20.399999999999999" x14ac:dyDescent="0.3">
      <c r="A48" s="117"/>
      <c r="B48" s="117"/>
      <c r="C48" s="119"/>
      <c r="D48" s="119"/>
      <c r="E48" s="97"/>
      <c r="F48" s="97"/>
      <c r="G48" s="97"/>
      <c r="H48" s="97"/>
      <c r="I48" s="97"/>
      <c r="J48" s="97"/>
      <c r="K48" s="97"/>
      <c r="L48" s="97"/>
      <c r="M48" s="97"/>
      <c r="N48" s="97"/>
      <c r="O48" s="97"/>
    </row>
    <row r="49" spans="1:15" ht="20.399999999999999" x14ac:dyDescent="0.3">
      <c r="A49" s="117"/>
      <c r="B49" s="117"/>
      <c r="C49" s="119"/>
      <c r="D49" s="119"/>
      <c r="E49" s="97"/>
      <c r="F49" s="97"/>
      <c r="G49" s="97"/>
      <c r="H49" s="97"/>
      <c r="I49" s="97"/>
      <c r="J49" s="97"/>
      <c r="K49" s="97"/>
      <c r="L49" s="97"/>
      <c r="M49" s="97"/>
      <c r="N49" s="97"/>
      <c r="O49" s="97"/>
    </row>
    <row r="50" spans="1:15" ht="20.399999999999999" x14ac:dyDescent="0.3">
      <c r="A50" s="117"/>
      <c r="B50" s="117"/>
      <c r="C50" s="119"/>
      <c r="D50" s="119"/>
      <c r="E50" s="97"/>
      <c r="F50" s="97"/>
      <c r="G50" s="97"/>
      <c r="H50" s="97"/>
      <c r="I50" s="97"/>
      <c r="J50" s="97"/>
      <c r="K50" s="97"/>
      <c r="L50" s="97"/>
      <c r="M50" s="97"/>
      <c r="N50" s="97"/>
      <c r="O50" s="97"/>
    </row>
    <row r="51" spans="1:15" ht="20.399999999999999" x14ac:dyDescent="0.3">
      <c r="A51" s="117"/>
      <c r="B51" s="117"/>
      <c r="C51" s="119"/>
      <c r="D51" s="119"/>
      <c r="E51" s="97"/>
      <c r="F51" s="97"/>
      <c r="G51" s="97"/>
      <c r="H51" s="97"/>
      <c r="I51" s="97"/>
      <c r="J51" s="97"/>
      <c r="K51" s="97"/>
      <c r="L51" s="97"/>
      <c r="M51" s="97"/>
      <c r="N51" s="97"/>
      <c r="O51" s="97"/>
    </row>
    <row r="52" spans="1:15" ht="20.399999999999999" x14ac:dyDescent="0.3">
      <c r="A52" s="117"/>
      <c r="B52" s="23"/>
      <c r="C52" s="36"/>
      <c r="D52" s="36"/>
    </row>
    <row r="53" spans="1:15" ht="20.399999999999999" x14ac:dyDescent="0.3">
      <c r="A53" s="117"/>
      <c r="B53" s="23"/>
      <c r="C53" s="36"/>
      <c r="D53" s="36"/>
    </row>
    <row r="54" spans="1:15" ht="20.399999999999999" x14ac:dyDescent="0.3">
      <c r="A54" s="117"/>
      <c r="B54" s="23"/>
      <c r="C54" s="36"/>
      <c r="D54" s="36"/>
    </row>
    <row r="55" spans="1:15" ht="20.399999999999999" x14ac:dyDescent="0.3">
      <c r="A55" s="117"/>
      <c r="B55" s="23"/>
      <c r="C55" s="36"/>
      <c r="D55" s="36"/>
    </row>
    <row r="56" spans="1:15" ht="20.399999999999999" x14ac:dyDescent="0.3">
      <c r="A56" s="117"/>
      <c r="B56" s="23"/>
      <c r="C56" s="36"/>
      <c r="D56" s="36"/>
    </row>
    <row r="57" spans="1:15" ht="20.399999999999999" x14ac:dyDescent="0.3">
      <c r="A57" s="117"/>
      <c r="B57" s="23"/>
      <c r="C57" s="36"/>
      <c r="D57" s="36"/>
    </row>
    <row r="58" spans="1:15" ht="20.399999999999999" x14ac:dyDescent="0.3">
      <c r="A58" s="117"/>
      <c r="B58" s="23"/>
      <c r="C58" s="36"/>
      <c r="D58" s="36"/>
    </row>
    <row r="59" spans="1:15" ht="20.399999999999999" x14ac:dyDescent="0.3">
      <c r="A59" s="117"/>
      <c r="B59" s="23"/>
      <c r="C59" s="36"/>
      <c r="D59" s="36"/>
    </row>
    <row r="60" spans="1:15" ht="20.399999999999999" x14ac:dyDescent="0.3">
      <c r="A60" s="117"/>
      <c r="B60" s="23"/>
      <c r="C60" s="36"/>
      <c r="D60" s="36"/>
    </row>
    <row r="61" spans="1:15" ht="20.399999999999999" x14ac:dyDescent="0.3">
      <c r="A61" s="117"/>
      <c r="B61" s="23"/>
      <c r="C61" s="36"/>
      <c r="D61" s="36"/>
    </row>
    <row r="62" spans="1:15" ht="20.399999999999999" x14ac:dyDescent="0.3">
      <c r="A62" s="117"/>
      <c r="B62" s="23"/>
      <c r="C62" s="36"/>
      <c r="D62" s="36"/>
    </row>
    <row r="63" spans="1:15" ht="20.399999999999999" x14ac:dyDescent="0.3">
      <c r="A63" s="117"/>
      <c r="B63" s="23"/>
      <c r="C63" s="36"/>
      <c r="D63" s="36"/>
    </row>
    <row r="64" spans="1:15" ht="20.399999999999999" x14ac:dyDescent="0.3">
      <c r="A64" s="117"/>
      <c r="B64" s="23"/>
      <c r="C64" s="36"/>
      <c r="D64" s="36"/>
    </row>
    <row r="65" spans="1:4" ht="20.399999999999999" x14ac:dyDescent="0.3">
      <c r="A65" s="117"/>
      <c r="B65" s="23"/>
      <c r="C65" s="36"/>
      <c r="D65" s="36"/>
    </row>
    <row r="66" spans="1:4" ht="20.399999999999999" x14ac:dyDescent="0.3">
      <c r="A66" s="117"/>
      <c r="B66" s="23"/>
      <c r="C66" s="36"/>
      <c r="D66" s="36"/>
    </row>
    <row r="67" spans="1:4" ht="20.399999999999999" x14ac:dyDescent="0.3">
      <c r="A67" s="117"/>
      <c r="B67" s="23"/>
      <c r="C67" s="36"/>
      <c r="D67" s="36"/>
    </row>
    <row r="68" spans="1:4" ht="20.399999999999999" x14ac:dyDescent="0.3">
      <c r="A68" s="117"/>
      <c r="B68" s="23"/>
      <c r="C68" s="36"/>
      <c r="D68" s="36"/>
    </row>
    <row r="69" spans="1:4" ht="20.399999999999999" x14ac:dyDescent="0.3">
      <c r="A69" s="117"/>
      <c r="B69" s="23"/>
      <c r="C69" s="36"/>
      <c r="D69" s="36"/>
    </row>
    <row r="70" spans="1:4" ht="20.399999999999999" x14ac:dyDescent="0.3">
      <c r="A70" s="117"/>
      <c r="B70" s="23"/>
      <c r="C70" s="36"/>
      <c r="D70" s="36"/>
    </row>
    <row r="71" spans="1:4" ht="20.399999999999999" x14ac:dyDescent="0.3">
      <c r="A71" s="117"/>
      <c r="B71" s="23"/>
      <c r="C71" s="36"/>
      <c r="D71" s="36"/>
    </row>
    <row r="72" spans="1:4" ht="20.399999999999999" x14ac:dyDescent="0.3">
      <c r="A72" s="117"/>
      <c r="B72" s="23"/>
      <c r="C72" s="36"/>
      <c r="D72" s="36"/>
    </row>
    <row r="73" spans="1:4" ht="20.399999999999999" x14ac:dyDescent="0.3">
      <c r="A73" s="117"/>
      <c r="B73" s="23"/>
      <c r="C73" s="36"/>
      <c r="D73" s="36"/>
    </row>
    <row r="74" spans="1:4" ht="20.399999999999999" x14ac:dyDescent="0.3">
      <c r="A74" s="117"/>
      <c r="B74" s="23"/>
      <c r="C74" s="36"/>
      <c r="D74" s="36"/>
    </row>
    <row r="75" spans="1:4" ht="20.399999999999999" x14ac:dyDescent="0.3">
      <c r="A75" s="117"/>
      <c r="B75" s="23"/>
      <c r="C75" s="36"/>
      <c r="D75" s="36"/>
    </row>
    <row r="76" spans="1:4" ht="20.399999999999999" x14ac:dyDescent="0.3">
      <c r="A76" s="117"/>
      <c r="B76" s="23"/>
      <c r="C76" s="36"/>
      <c r="D76" s="36"/>
    </row>
    <row r="77" spans="1:4" ht="20.399999999999999" x14ac:dyDescent="0.3">
      <c r="A77" s="117"/>
      <c r="B77" s="23"/>
      <c r="C77" s="36"/>
      <c r="D77" s="36"/>
    </row>
    <row r="78" spans="1:4" ht="20.399999999999999" x14ac:dyDescent="0.3">
      <c r="A78" s="117"/>
      <c r="B78" s="23"/>
      <c r="C78" s="36"/>
      <c r="D78" s="36"/>
    </row>
    <row r="79" spans="1:4" ht="20.399999999999999" x14ac:dyDescent="0.3">
      <c r="A79" s="117"/>
      <c r="B79" s="23"/>
      <c r="C79" s="36"/>
      <c r="D79" s="36"/>
    </row>
    <row r="80" spans="1:4" ht="20.399999999999999" x14ac:dyDescent="0.3">
      <c r="A80" s="117"/>
      <c r="B80" s="23"/>
      <c r="C80" s="36"/>
      <c r="D80" s="36"/>
    </row>
    <row r="81" spans="1:4" ht="20.399999999999999" x14ac:dyDescent="0.3">
      <c r="A81" s="117"/>
      <c r="B81" s="23"/>
      <c r="C81" s="36"/>
      <c r="D81" s="36"/>
    </row>
    <row r="82" spans="1:4" ht="20.399999999999999" x14ac:dyDescent="0.3">
      <c r="A82" s="117"/>
      <c r="B82" s="23"/>
      <c r="C82" s="36"/>
      <c r="D82" s="36"/>
    </row>
    <row r="83" spans="1:4" ht="20.399999999999999" x14ac:dyDescent="0.3">
      <c r="A83" s="117"/>
      <c r="B83" s="23"/>
      <c r="C83" s="36"/>
      <c r="D83" s="36"/>
    </row>
    <row r="84" spans="1:4" ht="20.399999999999999" x14ac:dyDescent="0.3">
      <c r="A84" s="117"/>
      <c r="B84" s="23"/>
      <c r="C84" s="36"/>
      <c r="D84" s="36"/>
    </row>
    <row r="85" spans="1:4" ht="20.399999999999999" x14ac:dyDescent="0.3">
      <c r="A85" s="117"/>
      <c r="B85" s="23"/>
      <c r="C85" s="36"/>
      <c r="D85" s="36"/>
    </row>
    <row r="86" spans="1:4" ht="20.399999999999999" x14ac:dyDescent="0.3">
      <c r="A86" s="117"/>
      <c r="B86" s="23"/>
      <c r="C86" s="36"/>
      <c r="D86" s="36"/>
    </row>
    <row r="87" spans="1:4" ht="20.399999999999999" x14ac:dyDescent="0.3">
      <c r="A87" s="117"/>
      <c r="B87" s="23"/>
      <c r="C87" s="36"/>
      <c r="D87" s="36"/>
    </row>
    <row r="88" spans="1:4" ht="20.399999999999999" x14ac:dyDescent="0.3">
      <c r="A88" s="117"/>
      <c r="B88" s="23"/>
      <c r="C88" s="36"/>
      <c r="D88" s="36"/>
    </row>
    <row r="89" spans="1:4" ht="20.399999999999999" x14ac:dyDescent="0.3">
      <c r="A89" s="117"/>
      <c r="B89" s="23"/>
      <c r="C89" s="36"/>
      <c r="D89" s="36"/>
    </row>
    <row r="90" spans="1:4" ht="20.399999999999999" x14ac:dyDescent="0.3">
      <c r="A90" s="117"/>
      <c r="B90" s="23"/>
      <c r="C90" s="36"/>
      <c r="D90" s="36"/>
    </row>
    <row r="91" spans="1:4" ht="20.399999999999999" x14ac:dyDescent="0.3">
      <c r="A91" s="117"/>
      <c r="B91" s="23"/>
      <c r="C91" s="36"/>
      <c r="D91" s="36"/>
    </row>
    <row r="92" spans="1:4" ht="20.399999999999999" x14ac:dyDescent="0.3">
      <c r="A92" s="117"/>
      <c r="B92" s="23"/>
      <c r="C92" s="36"/>
      <c r="D92" s="36"/>
    </row>
    <row r="93" spans="1:4" ht="20.399999999999999" x14ac:dyDescent="0.3">
      <c r="A93" s="117"/>
      <c r="B93" s="23"/>
      <c r="C93" s="36"/>
      <c r="D93" s="36"/>
    </row>
    <row r="94" spans="1:4" ht="20.399999999999999" x14ac:dyDescent="0.3">
      <c r="A94" s="117"/>
      <c r="B94" s="23"/>
      <c r="C94" s="36"/>
      <c r="D94" s="36"/>
    </row>
    <row r="95" spans="1:4" ht="20.399999999999999" x14ac:dyDescent="0.3">
      <c r="A95" s="117"/>
      <c r="B95" s="23"/>
      <c r="C95" s="36"/>
      <c r="D95" s="36"/>
    </row>
    <row r="96" spans="1:4" ht="20.399999999999999" x14ac:dyDescent="0.3">
      <c r="A96" s="117"/>
      <c r="B96" s="23"/>
      <c r="C96" s="36"/>
      <c r="D96" s="36"/>
    </row>
    <row r="97" spans="1:4" ht="20.399999999999999" x14ac:dyDescent="0.3">
      <c r="A97" s="117"/>
      <c r="B97" s="23"/>
      <c r="C97" s="36"/>
      <c r="D97" s="36"/>
    </row>
    <row r="98" spans="1:4" ht="20.399999999999999" x14ac:dyDescent="0.3">
      <c r="A98" s="117"/>
      <c r="B98" s="23"/>
      <c r="C98" s="36"/>
      <c r="D98" s="36"/>
    </row>
    <row r="99" spans="1:4" ht="20.399999999999999" x14ac:dyDescent="0.3">
      <c r="A99" s="117"/>
      <c r="B99" s="23"/>
      <c r="C99" s="36"/>
      <c r="D99" s="36"/>
    </row>
    <row r="100" spans="1:4" ht="20.399999999999999" x14ac:dyDescent="0.3">
      <c r="A100" s="117"/>
      <c r="B100" s="23"/>
      <c r="C100" s="36"/>
      <c r="D100" s="36"/>
    </row>
    <row r="101" spans="1:4" ht="20.399999999999999" x14ac:dyDescent="0.3">
      <c r="A101" s="117"/>
      <c r="B101" s="23"/>
      <c r="C101" s="36"/>
      <c r="D101" s="36"/>
    </row>
    <row r="102" spans="1:4" ht="20.399999999999999" x14ac:dyDescent="0.3">
      <c r="A102" s="117"/>
      <c r="B102" s="23"/>
      <c r="C102" s="36"/>
      <c r="D102" s="36"/>
    </row>
    <row r="103" spans="1:4" ht="20.399999999999999" x14ac:dyDescent="0.3">
      <c r="A103" s="117"/>
      <c r="B103" s="23"/>
      <c r="C103" s="36"/>
      <c r="D103" s="36"/>
    </row>
    <row r="104" spans="1:4" ht="20.399999999999999" x14ac:dyDescent="0.3">
      <c r="A104" s="117"/>
      <c r="B104" s="23"/>
      <c r="C104" s="36"/>
      <c r="D104" s="36"/>
    </row>
    <row r="105" spans="1:4" ht="20.399999999999999" x14ac:dyDescent="0.3">
      <c r="A105" s="117"/>
      <c r="B105" s="23"/>
      <c r="C105" s="36"/>
      <c r="D105" s="36"/>
    </row>
    <row r="106" spans="1:4" ht="20.399999999999999" x14ac:dyDescent="0.3">
      <c r="A106" s="117"/>
      <c r="B106" s="23"/>
      <c r="C106" s="36"/>
      <c r="D106" s="36"/>
    </row>
    <row r="107" spans="1:4" ht="20.399999999999999" x14ac:dyDescent="0.3">
      <c r="A107" s="117"/>
      <c r="B107" s="23"/>
      <c r="C107" s="36"/>
      <c r="D107" s="36"/>
    </row>
    <row r="108" spans="1:4" ht="20.399999999999999" x14ac:dyDescent="0.3">
      <c r="A108" s="117"/>
      <c r="B108" s="23"/>
      <c r="C108" s="36"/>
      <c r="D108" s="36"/>
    </row>
    <row r="109" spans="1:4" ht="20.399999999999999" x14ac:dyDescent="0.3">
      <c r="A109" s="117"/>
      <c r="B109" s="23"/>
      <c r="C109" s="36"/>
      <c r="D109" s="36"/>
    </row>
    <row r="110" spans="1:4" ht="20.399999999999999" x14ac:dyDescent="0.3">
      <c r="A110" s="117"/>
      <c r="B110" s="23"/>
      <c r="C110" s="36"/>
      <c r="D110" s="36"/>
    </row>
    <row r="111" spans="1:4" ht="20.399999999999999" x14ac:dyDescent="0.3">
      <c r="A111" s="117"/>
      <c r="B111" s="23"/>
      <c r="C111" s="36"/>
      <c r="D111" s="36"/>
    </row>
    <row r="112" spans="1:4" ht="20.399999999999999" x14ac:dyDescent="0.3">
      <c r="A112" s="117"/>
      <c r="B112" s="23"/>
      <c r="C112" s="36"/>
      <c r="D112" s="36"/>
    </row>
    <row r="113" spans="1:4" ht="20.399999999999999" x14ac:dyDescent="0.3">
      <c r="A113" s="117"/>
      <c r="B113" s="23"/>
      <c r="C113" s="36"/>
      <c r="D113" s="36"/>
    </row>
    <row r="114" spans="1:4" ht="20.399999999999999" x14ac:dyDescent="0.3">
      <c r="A114" s="117"/>
      <c r="B114" s="23"/>
      <c r="C114" s="36"/>
      <c r="D114" s="36"/>
    </row>
    <row r="115" spans="1:4" ht="20.399999999999999" x14ac:dyDescent="0.3">
      <c r="A115" s="117"/>
      <c r="B115" s="23"/>
      <c r="C115" s="36"/>
      <c r="D115" s="36"/>
    </row>
    <row r="116" spans="1:4" ht="20.399999999999999" x14ac:dyDescent="0.3">
      <c r="A116" s="117"/>
      <c r="B116" s="23"/>
      <c r="C116" s="36"/>
      <c r="D116" s="36"/>
    </row>
    <row r="117" spans="1:4" ht="20.399999999999999" x14ac:dyDescent="0.3">
      <c r="A117" s="117"/>
      <c r="B117" s="23"/>
      <c r="C117" s="36"/>
      <c r="D117" s="36"/>
    </row>
    <row r="118" spans="1:4" ht="20.399999999999999" x14ac:dyDescent="0.3">
      <c r="A118" s="117"/>
      <c r="B118" s="23"/>
      <c r="C118" s="36"/>
      <c r="D118" s="36"/>
    </row>
    <row r="119" spans="1:4" ht="20.399999999999999" x14ac:dyDescent="0.3">
      <c r="A119" s="117"/>
      <c r="B119" s="23"/>
      <c r="C119" s="36"/>
      <c r="D119" s="36"/>
    </row>
    <row r="120" spans="1:4" ht="20.399999999999999" x14ac:dyDescent="0.3">
      <c r="A120" s="117"/>
      <c r="B120" s="23"/>
      <c r="C120" s="36"/>
      <c r="D120" s="36"/>
    </row>
    <row r="121" spans="1:4" ht="20.399999999999999" x14ac:dyDescent="0.3">
      <c r="A121" s="117"/>
      <c r="B121" s="23"/>
      <c r="C121" s="36"/>
      <c r="D121" s="36"/>
    </row>
    <row r="122" spans="1:4" ht="20.399999999999999" x14ac:dyDescent="0.3">
      <c r="A122" s="117"/>
      <c r="B122" s="23"/>
      <c r="C122" s="36"/>
      <c r="D122" s="36"/>
    </row>
    <row r="123" spans="1:4" ht="20.399999999999999" x14ac:dyDescent="0.3">
      <c r="A123" s="117"/>
      <c r="B123" s="23"/>
      <c r="C123" s="36"/>
      <c r="D123" s="36"/>
    </row>
    <row r="124" spans="1:4" ht="20.399999999999999" x14ac:dyDescent="0.3">
      <c r="A124" s="117"/>
      <c r="B124" s="23"/>
      <c r="C124" s="36"/>
      <c r="D124" s="36"/>
    </row>
    <row r="125" spans="1:4" ht="20.399999999999999" x14ac:dyDescent="0.3">
      <c r="A125" s="117"/>
      <c r="B125" s="23"/>
      <c r="C125" s="36"/>
      <c r="D125" s="36"/>
    </row>
    <row r="126" spans="1:4" ht="20.399999999999999" x14ac:dyDescent="0.3">
      <c r="A126" s="117"/>
      <c r="B126" s="23"/>
      <c r="C126" s="36"/>
      <c r="D126" s="36"/>
    </row>
    <row r="127" spans="1:4" ht="20.399999999999999" x14ac:dyDescent="0.3">
      <c r="A127" s="117"/>
      <c r="B127" s="23"/>
      <c r="C127" s="36"/>
      <c r="D127" s="36"/>
    </row>
    <row r="128" spans="1:4" ht="20.399999999999999" x14ac:dyDescent="0.3">
      <c r="A128" s="117"/>
      <c r="B128" s="23"/>
      <c r="C128" s="36"/>
      <c r="D128" s="36"/>
    </row>
    <row r="129" spans="1:4" ht="20.399999999999999" x14ac:dyDescent="0.3">
      <c r="A129" s="117"/>
      <c r="B129" s="23"/>
      <c r="C129" s="36"/>
      <c r="D129" s="36"/>
    </row>
    <row r="130" spans="1:4" ht="20.399999999999999" x14ac:dyDescent="0.3">
      <c r="A130" s="117"/>
      <c r="B130" s="23"/>
      <c r="C130" s="36"/>
      <c r="D130" s="36"/>
    </row>
    <row r="131" spans="1:4" ht="20.399999999999999" x14ac:dyDescent="0.3">
      <c r="A131" s="117"/>
      <c r="B131" s="23"/>
      <c r="C131" s="36"/>
      <c r="D131" s="36"/>
    </row>
    <row r="132" spans="1:4" ht="20.399999999999999" x14ac:dyDescent="0.3">
      <c r="A132" s="117"/>
      <c r="B132" s="23"/>
      <c r="C132" s="36"/>
      <c r="D132" s="36"/>
    </row>
    <row r="133" spans="1:4" ht="20.399999999999999" x14ac:dyDescent="0.3">
      <c r="A133" s="117"/>
      <c r="B133" s="23"/>
      <c r="C133" s="36"/>
      <c r="D133" s="36"/>
    </row>
    <row r="134" spans="1:4" ht="20.399999999999999" x14ac:dyDescent="0.3">
      <c r="A134" s="117"/>
      <c r="B134" s="23"/>
      <c r="C134" s="36"/>
      <c r="D134" s="36"/>
    </row>
    <row r="135" spans="1:4" ht="20.399999999999999" x14ac:dyDescent="0.3">
      <c r="A135" s="117"/>
      <c r="B135" s="23"/>
      <c r="C135" s="36"/>
      <c r="D135" s="36"/>
    </row>
    <row r="136" spans="1:4" ht="20.399999999999999" x14ac:dyDescent="0.3">
      <c r="A136" s="117"/>
      <c r="B136" s="23"/>
      <c r="C136" s="36"/>
      <c r="D136" s="36"/>
    </row>
    <row r="137" spans="1:4" ht="20.399999999999999" x14ac:dyDescent="0.3">
      <c r="A137" s="117"/>
      <c r="B137" s="23"/>
      <c r="C137" s="36"/>
      <c r="D137" s="36"/>
    </row>
    <row r="138" spans="1:4" ht="20.399999999999999" x14ac:dyDescent="0.3">
      <c r="A138" s="117"/>
      <c r="B138" s="23"/>
      <c r="C138" s="36"/>
      <c r="D138" s="36"/>
    </row>
    <row r="139" spans="1:4" ht="20.399999999999999" x14ac:dyDescent="0.3">
      <c r="A139" s="117"/>
      <c r="B139" s="23"/>
      <c r="C139" s="36"/>
      <c r="D139" s="36"/>
    </row>
    <row r="140" spans="1:4" ht="20.399999999999999" x14ac:dyDescent="0.3">
      <c r="A140" s="117"/>
      <c r="B140" s="23"/>
      <c r="C140" s="36"/>
      <c r="D140" s="36"/>
    </row>
    <row r="141" spans="1:4" ht="20.399999999999999" x14ac:dyDescent="0.3">
      <c r="A141" s="117"/>
      <c r="B141" s="23"/>
      <c r="C141" s="36"/>
      <c r="D141" s="36"/>
    </row>
    <row r="142" spans="1:4" ht="20.399999999999999" x14ac:dyDescent="0.3">
      <c r="A142" s="117"/>
      <c r="B142" s="23"/>
      <c r="C142" s="36"/>
      <c r="D142" s="36"/>
    </row>
    <row r="143" spans="1:4" ht="20.399999999999999" x14ac:dyDescent="0.3">
      <c r="A143" s="117"/>
      <c r="B143" s="23"/>
      <c r="C143" s="36"/>
      <c r="D143" s="36"/>
    </row>
    <row r="144" spans="1:4" ht="20.399999999999999" x14ac:dyDescent="0.3">
      <c r="A144" s="117"/>
      <c r="B144" s="23"/>
      <c r="C144" s="36"/>
      <c r="D144" s="36"/>
    </row>
    <row r="145" spans="1:4" ht="20.399999999999999" x14ac:dyDescent="0.3">
      <c r="A145" s="117"/>
      <c r="B145" s="23"/>
      <c r="C145" s="36"/>
      <c r="D145" s="36"/>
    </row>
    <row r="146" spans="1:4" ht="20.399999999999999" x14ac:dyDescent="0.3">
      <c r="A146" s="117"/>
      <c r="B146" s="23"/>
      <c r="C146" s="36"/>
      <c r="D146" s="36"/>
    </row>
    <row r="147" spans="1:4" ht="20.399999999999999" x14ac:dyDescent="0.3">
      <c r="A147" s="117"/>
      <c r="B147" s="23"/>
      <c r="C147" s="36"/>
      <c r="D147" s="36"/>
    </row>
    <row r="148" spans="1:4" ht="20.399999999999999" x14ac:dyDescent="0.3">
      <c r="A148" s="117"/>
      <c r="B148" s="23"/>
      <c r="C148" s="36"/>
      <c r="D148" s="36"/>
    </row>
    <row r="149" spans="1:4" ht="20.399999999999999" x14ac:dyDescent="0.3">
      <c r="A149" s="117"/>
      <c r="B149" s="23"/>
      <c r="C149" s="36"/>
      <c r="D149" s="36"/>
    </row>
    <row r="150" spans="1:4" ht="20.399999999999999" x14ac:dyDescent="0.3">
      <c r="A150" s="117"/>
      <c r="B150" s="23"/>
      <c r="C150" s="36"/>
      <c r="D150" s="36"/>
    </row>
    <row r="151" spans="1:4" ht="20.399999999999999" x14ac:dyDescent="0.3">
      <c r="A151" s="117"/>
      <c r="B151" s="23"/>
      <c r="C151" s="36"/>
      <c r="D151" s="36"/>
    </row>
    <row r="152" spans="1:4" ht="20.399999999999999" x14ac:dyDescent="0.3">
      <c r="A152" s="117"/>
      <c r="B152" s="23"/>
      <c r="C152" s="36"/>
      <c r="D152" s="36"/>
    </row>
    <row r="153" spans="1:4" ht="20.399999999999999" x14ac:dyDescent="0.3">
      <c r="A153" s="117"/>
      <c r="B153" s="23"/>
      <c r="C153" s="36"/>
      <c r="D153" s="36"/>
    </row>
    <row r="154" spans="1:4" ht="20.399999999999999" x14ac:dyDescent="0.3">
      <c r="A154" s="117"/>
      <c r="B154" s="23"/>
      <c r="C154" s="36"/>
      <c r="D154" s="36"/>
    </row>
    <row r="155" spans="1:4" ht="20.399999999999999" x14ac:dyDescent="0.3">
      <c r="A155" s="117"/>
      <c r="B155" s="23"/>
      <c r="C155" s="36"/>
      <c r="D155" s="36"/>
    </row>
    <row r="156" spans="1:4" ht="20.399999999999999" x14ac:dyDescent="0.3">
      <c r="A156" s="117"/>
      <c r="B156" s="23"/>
      <c r="C156" s="36"/>
      <c r="D156" s="36"/>
    </row>
    <row r="157" spans="1:4" ht="20.399999999999999" x14ac:dyDescent="0.3">
      <c r="A157" s="117"/>
      <c r="B157" s="23"/>
      <c r="C157" s="36"/>
      <c r="D157" s="36"/>
    </row>
    <row r="158" spans="1:4" ht="20.399999999999999" x14ac:dyDescent="0.3">
      <c r="A158" s="117"/>
      <c r="B158" s="23"/>
      <c r="C158" s="36"/>
      <c r="D158" s="36"/>
    </row>
    <row r="159" spans="1:4" ht="20.399999999999999" x14ac:dyDescent="0.3">
      <c r="A159" s="117"/>
      <c r="B159" s="23"/>
      <c r="C159" s="36"/>
      <c r="D159" s="36"/>
    </row>
    <row r="160" spans="1:4" ht="20.399999999999999" x14ac:dyDescent="0.3">
      <c r="A160" s="117"/>
      <c r="B160" s="23"/>
      <c r="C160" s="36"/>
      <c r="D160" s="36"/>
    </row>
    <row r="161" spans="1:4" ht="20.399999999999999" x14ac:dyDescent="0.3">
      <c r="A161" s="117"/>
      <c r="B161" s="23"/>
      <c r="C161" s="36"/>
      <c r="D161" s="36"/>
    </row>
    <row r="162" spans="1:4" ht="20.399999999999999" x14ac:dyDescent="0.3">
      <c r="A162" s="117"/>
      <c r="B162" s="23"/>
      <c r="C162" s="36"/>
      <c r="D162" s="36"/>
    </row>
    <row r="163" spans="1:4" ht="20.399999999999999" x14ac:dyDescent="0.3">
      <c r="A163" s="117"/>
      <c r="B163" s="23"/>
      <c r="C163" s="36"/>
      <c r="D163" s="36"/>
    </row>
    <row r="164" spans="1:4" ht="20.399999999999999" x14ac:dyDescent="0.3">
      <c r="A164" s="117"/>
      <c r="B164" s="23"/>
      <c r="C164" s="36"/>
      <c r="D164" s="36"/>
    </row>
    <row r="165" spans="1:4" ht="20.399999999999999" x14ac:dyDescent="0.3">
      <c r="A165" s="117"/>
      <c r="B165" s="23"/>
      <c r="C165" s="36"/>
      <c r="D165" s="36"/>
    </row>
    <row r="166" spans="1:4" ht="20.399999999999999" x14ac:dyDescent="0.3">
      <c r="A166" s="117"/>
      <c r="B166" s="23"/>
      <c r="C166" s="36"/>
      <c r="D166" s="36"/>
    </row>
    <row r="167" spans="1:4" ht="20.399999999999999" x14ac:dyDescent="0.3">
      <c r="A167" s="117"/>
      <c r="B167" s="23"/>
      <c r="C167" s="36"/>
      <c r="D167" s="36"/>
    </row>
    <row r="168" spans="1:4" ht="20.399999999999999" x14ac:dyDescent="0.3">
      <c r="A168" s="117"/>
      <c r="B168" s="23"/>
      <c r="C168" s="36"/>
      <c r="D168" s="36"/>
    </row>
    <row r="169" spans="1:4" ht="20.399999999999999" x14ac:dyDescent="0.3">
      <c r="A169" s="117"/>
      <c r="B169" s="23"/>
      <c r="C169" s="36"/>
      <c r="D169" s="36"/>
    </row>
    <row r="170" spans="1:4" ht="20.399999999999999" x14ac:dyDescent="0.3">
      <c r="A170" s="117"/>
      <c r="B170" s="23"/>
      <c r="C170" s="36"/>
      <c r="D170" s="36"/>
    </row>
    <row r="171" spans="1:4" ht="20.399999999999999" x14ac:dyDescent="0.3">
      <c r="A171" s="117"/>
      <c r="B171" s="23"/>
      <c r="C171" s="36"/>
      <c r="D171" s="36"/>
    </row>
    <row r="172" spans="1:4" ht="20.399999999999999" x14ac:dyDescent="0.3">
      <c r="A172" s="117"/>
      <c r="B172" s="23"/>
      <c r="C172" s="36"/>
      <c r="D172" s="36"/>
    </row>
    <row r="173" spans="1:4" ht="20.399999999999999" x14ac:dyDescent="0.3">
      <c r="A173" s="117"/>
      <c r="B173" s="23"/>
      <c r="C173" s="36"/>
      <c r="D173" s="36"/>
    </row>
    <row r="174" spans="1:4" ht="20.399999999999999" x14ac:dyDescent="0.3">
      <c r="A174" s="117"/>
      <c r="B174" s="23"/>
      <c r="C174" s="36"/>
      <c r="D174" s="36"/>
    </row>
    <row r="175" spans="1:4" ht="20.399999999999999" x14ac:dyDescent="0.3">
      <c r="A175" s="117"/>
      <c r="B175" s="23"/>
      <c r="C175" s="36"/>
      <c r="D175" s="36"/>
    </row>
    <row r="176" spans="1:4" ht="20.399999999999999" x14ac:dyDescent="0.3">
      <c r="A176" s="117"/>
      <c r="B176" s="23"/>
      <c r="C176" s="36"/>
      <c r="D176" s="36"/>
    </row>
    <row r="177" spans="1:4" ht="20.399999999999999" x14ac:dyDescent="0.3">
      <c r="A177" s="117"/>
      <c r="B177" s="23"/>
      <c r="C177" s="36"/>
      <c r="D177" s="36"/>
    </row>
    <row r="178" spans="1:4" ht="20.399999999999999" x14ac:dyDescent="0.3">
      <c r="A178" s="117"/>
      <c r="B178" s="23"/>
      <c r="C178" s="36"/>
      <c r="D178" s="36"/>
    </row>
    <row r="179" spans="1:4" ht="20.399999999999999" x14ac:dyDescent="0.3">
      <c r="A179" s="117"/>
      <c r="B179" s="23"/>
      <c r="C179" s="36"/>
      <c r="D179" s="36"/>
    </row>
    <row r="180" spans="1:4" ht="20.399999999999999" x14ac:dyDescent="0.3">
      <c r="A180" s="117"/>
      <c r="B180" s="23"/>
      <c r="C180" s="36"/>
      <c r="D180" s="36"/>
    </row>
    <row r="181" spans="1:4" ht="20.399999999999999" x14ac:dyDescent="0.3">
      <c r="A181" s="117"/>
      <c r="B181" s="23"/>
      <c r="C181" s="36"/>
      <c r="D181" s="36"/>
    </row>
    <row r="182" spans="1:4" ht="20.399999999999999" x14ac:dyDescent="0.3">
      <c r="A182" s="117"/>
      <c r="B182" s="23"/>
      <c r="C182" s="36"/>
      <c r="D182" s="36"/>
    </row>
    <row r="183" spans="1:4" ht="20.399999999999999" x14ac:dyDescent="0.3">
      <c r="A183" s="117"/>
      <c r="B183" s="23"/>
      <c r="C183" s="36"/>
      <c r="D183" s="36"/>
    </row>
    <row r="184" spans="1:4" ht="20.399999999999999" x14ac:dyDescent="0.3">
      <c r="A184" s="117"/>
      <c r="B184" s="23"/>
      <c r="C184" s="36"/>
      <c r="D184" s="36"/>
    </row>
    <row r="185" spans="1:4" ht="20.399999999999999" x14ac:dyDescent="0.3">
      <c r="A185" s="117"/>
      <c r="B185" s="23"/>
      <c r="C185" s="36"/>
      <c r="D185" s="36"/>
    </row>
    <row r="186" spans="1:4" ht="20.399999999999999" x14ac:dyDescent="0.3">
      <c r="A186" s="117"/>
      <c r="B186" s="23"/>
      <c r="C186" s="36"/>
      <c r="D186" s="36"/>
    </row>
    <row r="187" spans="1:4" ht="20.399999999999999" x14ac:dyDescent="0.3">
      <c r="A187" s="117"/>
      <c r="B187" s="23"/>
      <c r="C187" s="36"/>
      <c r="D187" s="36"/>
    </row>
    <row r="188" spans="1:4" ht="20.399999999999999" x14ac:dyDescent="0.3">
      <c r="A188" s="117"/>
      <c r="B188" s="23"/>
      <c r="C188" s="36"/>
      <c r="D188" s="36"/>
    </row>
    <row r="189" spans="1:4" ht="20.399999999999999" x14ac:dyDescent="0.3">
      <c r="A189" s="117"/>
      <c r="B189" s="23"/>
      <c r="C189" s="36"/>
      <c r="D189" s="36"/>
    </row>
    <row r="190" spans="1:4" ht="20.399999999999999" x14ac:dyDescent="0.3">
      <c r="A190" s="117"/>
      <c r="B190" s="23"/>
      <c r="C190" s="36"/>
      <c r="D190" s="36"/>
    </row>
    <row r="191" spans="1:4" ht="20.399999999999999" x14ac:dyDescent="0.3">
      <c r="A191" s="117"/>
      <c r="B191" s="23"/>
      <c r="C191" s="36"/>
      <c r="D191" s="36"/>
    </row>
    <row r="192" spans="1:4" ht="20.399999999999999" x14ac:dyDescent="0.3">
      <c r="A192" s="117"/>
      <c r="B192" s="23"/>
      <c r="C192" s="36"/>
      <c r="D192" s="36"/>
    </row>
    <row r="193" spans="1:4" ht="20.399999999999999" x14ac:dyDescent="0.3">
      <c r="A193" s="117"/>
      <c r="B193" s="23"/>
      <c r="C193" s="36"/>
      <c r="D193" s="36"/>
    </row>
    <row r="194" spans="1:4" ht="20.399999999999999" x14ac:dyDescent="0.3">
      <c r="A194" s="117"/>
      <c r="B194" s="23"/>
      <c r="C194" s="36"/>
      <c r="D194" s="36"/>
    </row>
    <row r="195" spans="1:4" ht="20.399999999999999" x14ac:dyDescent="0.3">
      <c r="A195" s="117"/>
      <c r="B195" s="23"/>
      <c r="C195" s="36"/>
      <c r="D195" s="36"/>
    </row>
    <row r="196" spans="1:4" ht="20.399999999999999" x14ac:dyDescent="0.3">
      <c r="A196" s="117"/>
      <c r="B196" s="23"/>
      <c r="C196" s="36"/>
      <c r="D196" s="36"/>
    </row>
    <row r="197" spans="1:4" ht="20.399999999999999" x14ac:dyDescent="0.3">
      <c r="A197" s="117"/>
      <c r="B197" s="23"/>
      <c r="C197" s="36"/>
      <c r="D197" s="36"/>
    </row>
    <row r="198" spans="1:4" ht="20.399999999999999" x14ac:dyDescent="0.3">
      <c r="A198" s="117"/>
      <c r="B198" s="23"/>
      <c r="C198" s="36"/>
      <c r="D198" s="36"/>
    </row>
    <row r="199" spans="1:4" ht="20.399999999999999" x14ac:dyDescent="0.3">
      <c r="A199" s="117"/>
      <c r="B199" s="23"/>
      <c r="C199" s="36"/>
      <c r="D199" s="36"/>
    </row>
    <row r="200" spans="1:4" ht="20.399999999999999" x14ac:dyDescent="0.3">
      <c r="A200" s="117"/>
      <c r="B200" s="23"/>
      <c r="C200" s="36"/>
      <c r="D200" s="36"/>
    </row>
    <row r="201" spans="1:4" ht="20.399999999999999" x14ac:dyDescent="0.3">
      <c r="A201" s="117"/>
      <c r="B201" s="23"/>
      <c r="C201" s="36"/>
      <c r="D201" s="36"/>
    </row>
    <row r="202" spans="1:4" ht="20.399999999999999" x14ac:dyDescent="0.3">
      <c r="A202" s="117"/>
      <c r="B202" s="23"/>
      <c r="C202" s="36"/>
      <c r="D202" s="36"/>
    </row>
    <row r="203" spans="1:4" ht="20.399999999999999" x14ac:dyDescent="0.3">
      <c r="A203" s="117"/>
      <c r="B203" s="23"/>
      <c r="C203" s="36"/>
      <c r="D203" s="36"/>
    </row>
    <row r="204" spans="1:4" ht="20.399999999999999" x14ac:dyDescent="0.3">
      <c r="A204" s="117"/>
      <c r="B204" s="23"/>
      <c r="C204" s="36"/>
      <c r="D204" s="36"/>
    </row>
    <row r="205" spans="1:4" ht="20.399999999999999" x14ac:dyDescent="0.3">
      <c r="A205" s="117"/>
      <c r="B205" s="23"/>
      <c r="C205" s="36"/>
      <c r="D205" s="36"/>
    </row>
    <row r="206" spans="1:4" ht="20.399999999999999" x14ac:dyDescent="0.3">
      <c r="A206" s="117"/>
      <c r="B206" s="23"/>
      <c r="C206" s="36"/>
      <c r="D206" s="36"/>
    </row>
    <row r="207" spans="1:4" ht="20.399999999999999" x14ac:dyDescent="0.3">
      <c r="A207" s="117"/>
      <c r="B207" s="23"/>
      <c r="C207" s="36"/>
      <c r="D207" s="36"/>
    </row>
    <row r="208" spans="1:4" x14ac:dyDescent="0.3">
      <c r="A208" s="97"/>
      <c r="B208" s="23"/>
      <c r="C208" s="23"/>
      <c r="D208" s="23"/>
    </row>
    <row r="209" spans="1:8" ht="20.399999999999999" x14ac:dyDescent="0.3">
      <c r="A209" s="97"/>
      <c r="B209" s="32" t="s">
        <v>87</v>
      </c>
      <c r="C209" s="32" t="s">
        <v>144</v>
      </c>
      <c r="D209" s="35" t="s">
        <v>87</v>
      </c>
      <c r="E209" s="35" t="s">
        <v>144</v>
      </c>
    </row>
    <row r="210" spans="1:8" ht="21" x14ac:dyDescent="0.4">
      <c r="A210" s="97"/>
      <c r="B210" s="33" t="s">
        <v>89</v>
      </c>
      <c r="C210" s="33" t="s">
        <v>58</v>
      </c>
      <c r="D210" t="s">
        <v>89</v>
      </c>
      <c r="F210" t="str">
        <f>IF(NOT(ISBLANK(D210)),D210,IF(NOT(ISBLANK(E210)),"     "&amp;E210,FALSE))</f>
        <v>Afectación Económica o presupuestal</v>
      </c>
      <c r="G210" t="s">
        <v>89</v>
      </c>
      <c r="H210" t="str">
        <f>IF(NOT(ISERROR(MATCH(G210,_xlfn.ANCHORARRAY(B221),0))),F223&amp;"Por favor no seleccionar los criterios de impacto",G210)</f>
        <v>❌Por favor no seleccionar los criterios de impacto</v>
      </c>
    </row>
    <row r="211" spans="1:8" ht="21" x14ac:dyDescent="0.4">
      <c r="A211" s="97"/>
      <c r="B211" s="33" t="s">
        <v>89</v>
      </c>
      <c r="C211" s="33" t="s">
        <v>92</v>
      </c>
      <c r="E211" t="s">
        <v>58</v>
      </c>
      <c r="F211" t="str">
        <f t="shared" ref="F211:F221" si="0">IF(NOT(ISBLANK(D211)),D211,IF(NOT(ISBLANK(E211)),"     "&amp;E211,FALSE))</f>
        <v xml:space="preserve">     Afectación menor a 10 SMLMV .</v>
      </c>
    </row>
    <row r="212" spans="1:8" ht="21" x14ac:dyDescent="0.4">
      <c r="A212" s="97"/>
      <c r="B212" s="33" t="s">
        <v>89</v>
      </c>
      <c r="C212" s="33" t="s">
        <v>93</v>
      </c>
      <c r="E212" t="s">
        <v>92</v>
      </c>
      <c r="F212" t="str">
        <f t="shared" si="0"/>
        <v xml:space="preserve">     Entre 10 y 50 SMLMV </v>
      </c>
    </row>
    <row r="213" spans="1:8" ht="21" x14ac:dyDescent="0.4">
      <c r="A213" s="97"/>
      <c r="B213" s="33" t="s">
        <v>89</v>
      </c>
      <c r="C213" s="33" t="s">
        <v>94</v>
      </c>
      <c r="E213" t="s">
        <v>93</v>
      </c>
      <c r="F213" t="str">
        <f t="shared" si="0"/>
        <v xml:space="preserve">     Entre 50 y 100 SMLMV </v>
      </c>
    </row>
    <row r="214" spans="1:8" ht="21" x14ac:dyDescent="0.4">
      <c r="A214" s="97"/>
      <c r="B214" s="33" t="s">
        <v>89</v>
      </c>
      <c r="C214" s="33" t="s">
        <v>95</v>
      </c>
      <c r="E214" t="s">
        <v>94</v>
      </c>
      <c r="F214" t="str">
        <f t="shared" si="0"/>
        <v xml:space="preserve">     Entre 100 y 500 SMLMV </v>
      </c>
    </row>
    <row r="215" spans="1:8" ht="21" x14ac:dyDescent="0.4">
      <c r="A215" s="97"/>
      <c r="B215" s="33" t="s">
        <v>57</v>
      </c>
      <c r="C215" s="33" t="s">
        <v>96</v>
      </c>
      <c r="E215" t="s">
        <v>95</v>
      </c>
      <c r="F215" t="str">
        <f t="shared" si="0"/>
        <v xml:space="preserve">     Mayor a 500 SMLMV </v>
      </c>
    </row>
    <row r="216" spans="1:8" ht="21" x14ac:dyDescent="0.4">
      <c r="A216" s="97"/>
      <c r="B216" s="33" t="s">
        <v>57</v>
      </c>
      <c r="C216" s="33" t="s">
        <v>97</v>
      </c>
      <c r="D216" t="s">
        <v>57</v>
      </c>
      <c r="F216" t="str">
        <f t="shared" si="0"/>
        <v>Pérdida Reputacional</v>
      </c>
    </row>
    <row r="217" spans="1:8" ht="21" x14ac:dyDescent="0.4">
      <c r="A217" s="97"/>
      <c r="B217" s="33" t="s">
        <v>57</v>
      </c>
      <c r="C217" s="33" t="s">
        <v>99</v>
      </c>
      <c r="E217" t="s">
        <v>96</v>
      </c>
      <c r="F217" t="str">
        <f t="shared" si="0"/>
        <v xml:space="preserve">     El riesgo afecta la imagen de alguna área de la organización</v>
      </c>
    </row>
    <row r="218" spans="1:8" ht="21" x14ac:dyDescent="0.4">
      <c r="A218" s="97"/>
      <c r="B218" s="33" t="s">
        <v>57</v>
      </c>
      <c r="C218" s="33" t="s">
        <v>98</v>
      </c>
      <c r="E218" t="s">
        <v>97</v>
      </c>
      <c r="F218" t="str">
        <f t="shared" si="0"/>
        <v xml:space="preserve">     El riesgo afecta la imagen de la entidad internamente, de conocimiento general, nivel interno, de junta dircetiva y accionistas y/o de provedores</v>
      </c>
    </row>
    <row r="219" spans="1:8" ht="21" x14ac:dyDescent="0.4">
      <c r="A219" s="97"/>
      <c r="B219" s="33" t="s">
        <v>57</v>
      </c>
      <c r="C219" s="33" t="s">
        <v>117</v>
      </c>
      <c r="E219" t="s">
        <v>99</v>
      </c>
      <c r="F219" t="str">
        <f t="shared" si="0"/>
        <v xml:space="preserve">     El riesgo afecta la imagen de la entidad con algunos usuarios de relevancia frente al logro de los objetivos</v>
      </c>
    </row>
    <row r="220" spans="1:8" x14ac:dyDescent="0.3">
      <c r="A220" s="97"/>
      <c r="B220" s="34"/>
      <c r="C220" s="34"/>
      <c r="E220" t="s">
        <v>98</v>
      </c>
      <c r="F220" t="str">
        <f t="shared" si="0"/>
        <v xml:space="preserve">     El riesgo afecta la imagen de de la entidad con efecto publicitario sostenido a nivel de sector administrativo, nivel departamental o municipal</v>
      </c>
    </row>
    <row r="221" spans="1:8" x14ac:dyDescent="0.3">
      <c r="A221" s="97"/>
      <c r="B221" s="34" t="str" cm="1">
        <f t="array" ref="B221:B223">_xlfn.UNIQUE(Tabla1[[#All],[Criterios]])</f>
        <v>Criterios</v>
      </c>
      <c r="C221" s="34"/>
      <c r="E221" t="s">
        <v>117</v>
      </c>
      <c r="F221" t="str">
        <f t="shared" si="0"/>
        <v xml:space="preserve">     El riesgo afecta la imagen de la entidad a nivel nacional, con efecto publicitarios sostenible a nivel país</v>
      </c>
    </row>
    <row r="222" spans="1:8" x14ac:dyDescent="0.3">
      <c r="A222" s="97"/>
      <c r="B222" s="34" t="str">
        <v>Afectación Económica o presupuestal</v>
      </c>
      <c r="C222" s="34"/>
    </row>
    <row r="223" spans="1:8" x14ac:dyDescent="0.3">
      <c r="B223" s="34" t="str">
        <v>Pérdida Reputacional</v>
      </c>
      <c r="C223" s="34"/>
      <c r="F223" s="37" t="s">
        <v>146</v>
      </c>
    </row>
    <row r="224" spans="1:8" x14ac:dyDescent="0.3">
      <c r="B224" s="22"/>
      <c r="C224" s="22"/>
      <c r="F224" s="37" t="s">
        <v>147</v>
      </c>
    </row>
    <row r="225" spans="2:4" x14ac:dyDescent="0.3">
      <c r="B225" s="22"/>
      <c r="C225" s="22"/>
    </row>
    <row r="226" spans="2:4" x14ac:dyDescent="0.3">
      <c r="B226" s="22"/>
      <c r="C226" s="22"/>
    </row>
    <row r="227" spans="2:4" x14ac:dyDescent="0.3">
      <c r="B227" s="22"/>
      <c r="C227" s="22"/>
      <c r="D227" s="22"/>
    </row>
    <row r="228" spans="2:4" x14ac:dyDescent="0.3">
      <c r="B228" s="22"/>
      <c r="C228" s="22"/>
      <c r="D228" s="22"/>
    </row>
    <row r="229" spans="2:4" x14ac:dyDescent="0.3">
      <c r="B229" s="22"/>
      <c r="C229" s="22"/>
      <c r="D229" s="22"/>
    </row>
    <row r="230" spans="2:4" x14ac:dyDescent="0.3">
      <c r="B230" s="22"/>
      <c r="C230" s="22"/>
      <c r="D230" s="22"/>
    </row>
    <row r="231" spans="2:4" x14ac:dyDescent="0.3">
      <c r="B231" s="22"/>
      <c r="C231" s="22"/>
      <c r="D231" s="22"/>
    </row>
    <row r="232" spans="2:4" x14ac:dyDescent="0.3">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topLeftCell="A4" workbookViewId="0">
      <selection activeCell="B1" sqref="B1:F1"/>
    </sheetView>
  </sheetViews>
  <sheetFormatPr baseColWidth="10" defaultColWidth="14.33203125" defaultRowHeight="13.8" x14ac:dyDescent="0.3"/>
  <cols>
    <col min="1" max="2" width="14.33203125" style="102"/>
    <col min="3" max="3" width="17" style="102" customWidth="1"/>
    <col min="4" max="4" width="14.33203125" style="102"/>
    <col min="5" max="5" width="46" style="102" customWidth="1"/>
    <col min="6" max="16384" width="14.33203125" style="102"/>
  </cols>
  <sheetData>
    <row r="1" spans="2:6" ht="24" customHeight="1" thickBot="1" x14ac:dyDescent="0.35">
      <c r="B1" s="373" t="s">
        <v>78</v>
      </c>
      <c r="C1" s="374"/>
      <c r="D1" s="374"/>
      <c r="E1" s="374"/>
      <c r="F1" s="375"/>
    </row>
    <row r="2" spans="2:6" ht="16.2" thickBot="1" x14ac:dyDescent="0.35">
      <c r="B2" s="103"/>
      <c r="C2" s="103"/>
      <c r="D2" s="103"/>
      <c r="E2" s="103"/>
      <c r="F2" s="103"/>
    </row>
    <row r="3" spans="2:6" ht="16.2" thickBot="1" x14ac:dyDescent="0.35">
      <c r="B3" s="377" t="s">
        <v>64</v>
      </c>
      <c r="C3" s="378"/>
      <c r="D3" s="378"/>
      <c r="E3" s="115" t="s">
        <v>65</v>
      </c>
      <c r="F3" s="116" t="s">
        <v>66</v>
      </c>
    </row>
    <row r="4" spans="2:6" ht="31.2" x14ac:dyDescent="0.3">
      <c r="B4" s="379" t="s">
        <v>67</v>
      </c>
      <c r="C4" s="381" t="s">
        <v>13</v>
      </c>
      <c r="D4" s="104" t="s">
        <v>14</v>
      </c>
      <c r="E4" s="105" t="s">
        <v>68</v>
      </c>
      <c r="F4" s="106">
        <v>0.25</v>
      </c>
    </row>
    <row r="5" spans="2:6" ht="46.8" x14ac:dyDescent="0.3">
      <c r="B5" s="380"/>
      <c r="C5" s="382"/>
      <c r="D5" s="107" t="s">
        <v>15</v>
      </c>
      <c r="E5" s="108" t="s">
        <v>69</v>
      </c>
      <c r="F5" s="109">
        <v>0.15</v>
      </c>
    </row>
    <row r="6" spans="2:6" ht="46.8" x14ac:dyDescent="0.3">
      <c r="B6" s="380"/>
      <c r="C6" s="382"/>
      <c r="D6" s="107" t="s">
        <v>16</v>
      </c>
      <c r="E6" s="108" t="s">
        <v>70</v>
      </c>
      <c r="F6" s="109">
        <v>0.1</v>
      </c>
    </row>
    <row r="7" spans="2:6" ht="62.4" x14ac:dyDescent="0.3">
      <c r="B7" s="380"/>
      <c r="C7" s="382" t="s">
        <v>17</v>
      </c>
      <c r="D7" s="107" t="s">
        <v>10</v>
      </c>
      <c r="E7" s="108" t="s">
        <v>71</v>
      </c>
      <c r="F7" s="109">
        <v>0.25</v>
      </c>
    </row>
    <row r="8" spans="2:6" ht="31.2" x14ac:dyDescent="0.3">
      <c r="B8" s="380"/>
      <c r="C8" s="382"/>
      <c r="D8" s="107" t="s">
        <v>9</v>
      </c>
      <c r="E8" s="108" t="s">
        <v>72</v>
      </c>
      <c r="F8" s="109">
        <v>0.15</v>
      </c>
    </row>
    <row r="9" spans="2:6" ht="46.8" x14ac:dyDescent="0.3">
      <c r="B9" s="380" t="s">
        <v>161</v>
      </c>
      <c r="C9" s="382" t="s">
        <v>18</v>
      </c>
      <c r="D9" s="107" t="s">
        <v>19</v>
      </c>
      <c r="E9" s="108" t="s">
        <v>73</v>
      </c>
      <c r="F9" s="110" t="s">
        <v>74</v>
      </c>
    </row>
    <row r="10" spans="2:6" ht="46.8" x14ac:dyDescent="0.3">
      <c r="B10" s="380"/>
      <c r="C10" s="382"/>
      <c r="D10" s="107" t="s">
        <v>20</v>
      </c>
      <c r="E10" s="108" t="s">
        <v>75</v>
      </c>
      <c r="F10" s="110" t="s">
        <v>74</v>
      </c>
    </row>
    <row r="11" spans="2:6" ht="46.8" x14ac:dyDescent="0.3">
      <c r="B11" s="380"/>
      <c r="C11" s="382" t="s">
        <v>21</v>
      </c>
      <c r="D11" s="107" t="s">
        <v>22</v>
      </c>
      <c r="E11" s="108" t="s">
        <v>76</v>
      </c>
      <c r="F11" s="110" t="s">
        <v>74</v>
      </c>
    </row>
    <row r="12" spans="2:6" ht="46.8" x14ac:dyDescent="0.3">
      <c r="B12" s="380"/>
      <c r="C12" s="382"/>
      <c r="D12" s="107" t="s">
        <v>23</v>
      </c>
      <c r="E12" s="108" t="s">
        <v>77</v>
      </c>
      <c r="F12" s="110" t="s">
        <v>74</v>
      </c>
    </row>
    <row r="13" spans="2:6" ht="31.2" x14ac:dyDescent="0.3">
      <c r="B13" s="380"/>
      <c r="C13" s="382" t="s">
        <v>24</v>
      </c>
      <c r="D13" s="107" t="s">
        <v>118</v>
      </c>
      <c r="E13" s="108" t="s">
        <v>121</v>
      </c>
      <c r="F13" s="110" t="s">
        <v>74</v>
      </c>
    </row>
    <row r="14" spans="2:6" ht="16.2" thickBot="1" x14ac:dyDescent="0.35">
      <c r="B14" s="383"/>
      <c r="C14" s="384"/>
      <c r="D14" s="111" t="s">
        <v>119</v>
      </c>
      <c r="E14" s="112" t="s">
        <v>120</v>
      </c>
      <c r="F14" s="113" t="s">
        <v>74</v>
      </c>
    </row>
    <row r="15" spans="2:6" ht="49.5" customHeight="1" x14ac:dyDescent="0.3">
      <c r="B15" s="376" t="s">
        <v>158</v>
      </c>
      <c r="C15" s="376"/>
      <c r="D15" s="376"/>
      <c r="E15" s="376"/>
      <c r="F15" s="376"/>
    </row>
    <row r="16" spans="2:6" ht="27" customHeight="1" x14ac:dyDescent="0.3">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4.4" x14ac:dyDescent="0.3"/>
  <sheetData>
    <row r="2" spans="2:5" x14ac:dyDescent="0.3">
      <c r="B2" t="s">
        <v>31</v>
      </c>
      <c r="E2" t="s">
        <v>132</v>
      </c>
    </row>
    <row r="3" spans="2:5" x14ac:dyDescent="0.3">
      <c r="B3" t="s">
        <v>32</v>
      </c>
      <c r="E3" t="s">
        <v>131</v>
      </c>
    </row>
    <row r="4" spans="2:5" x14ac:dyDescent="0.3">
      <c r="B4" t="s">
        <v>136</v>
      </c>
      <c r="E4" t="s">
        <v>133</v>
      </c>
    </row>
    <row r="5" spans="2:5" x14ac:dyDescent="0.3">
      <c r="B5" t="s">
        <v>135</v>
      </c>
    </row>
    <row r="8" spans="2:5" x14ac:dyDescent="0.3">
      <c r="B8" t="s">
        <v>85</v>
      </c>
    </row>
    <row r="9" spans="2:5" x14ac:dyDescent="0.3">
      <c r="B9" t="s">
        <v>40</v>
      </c>
    </row>
    <row r="10" spans="2:5" x14ac:dyDescent="0.3">
      <c r="B10" t="s">
        <v>41</v>
      </c>
    </row>
    <row r="13" spans="2:5" x14ac:dyDescent="0.3">
      <c r="B13" t="s">
        <v>128</v>
      </c>
    </row>
    <row r="14" spans="2:5" x14ac:dyDescent="0.3">
      <c r="B14" t="s">
        <v>122</v>
      </c>
    </row>
    <row r="15" spans="2:5" x14ac:dyDescent="0.3">
      <c r="B15" t="s">
        <v>125</v>
      </c>
    </row>
    <row r="16" spans="2:5" x14ac:dyDescent="0.3">
      <c r="B16" t="s">
        <v>123</v>
      </c>
    </row>
    <row r="17" spans="2:2" x14ac:dyDescent="0.3">
      <c r="B17" t="s">
        <v>124</v>
      </c>
    </row>
    <row r="18" spans="2:2" x14ac:dyDescent="0.3">
      <c r="B18" t="s">
        <v>126</v>
      </c>
    </row>
    <row r="19" spans="2:2" x14ac:dyDescent="0.3">
      <c r="B19" t="s">
        <v>127</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4140625" defaultRowHeight="13.8" x14ac:dyDescent="0.3"/>
  <cols>
    <col min="1" max="1" width="32.88671875" style="9" customWidth="1"/>
    <col min="2" max="16384" width="11.44140625" style="9"/>
  </cols>
  <sheetData>
    <row r="3" spans="1:1" x14ac:dyDescent="0.3">
      <c r="A3" s="10" t="s">
        <v>14</v>
      </c>
    </row>
    <row r="4" spans="1:1" x14ac:dyDescent="0.3">
      <c r="A4" s="10" t="s">
        <v>15</v>
      </c>
    </row>
    <row r="5" spans="1:1" x14ac:dyDescent="0.3">
      <c r="A5" s="10" t="s">
        <v>16</v>
      </c>
    </row>
    <row r="6" spans="1:1" x14ac:dyDescent="0.3">
      <c r="A6" s="10" t="s">
        <v>10</v>
      </c>
    </row>
    <row r="7" spans="1:1" x14ac:dyDescent="0.3">
      <c r="A7" s="10" t="s">
        <v>9</v>
      </c>
    </row>
    <row r="8" spans="1:1" x14ac:dyDescent="0.3">
      <c r="A8" s="10" t="s">
        <v>19</v>
      </c>
    </row>
    <row r="9" spans="1:1" x14ac:dyDescent="0.3">
      <c r="A9" s="10" t="s">
        <v>20</v>
      </c>
    </row>
    <row r="10" spans="1:1" x14ac:dyDescent="0.3">
      <c r="A10" s="10" t="s">
        <v>22</v>
      </c>
    </row>
    <row r="11" spans="1:1" x14ac:dyDescent="0.3">
      <c r="A11" s="10" t="s">
        <v>23</v>
      </c>
    </row>
    <row r="12" spans="1:1" x14ac:dyDescent="0.3">
      <c r="A12" s="10" t="s">
        <v>25</v>
      </c>
    </row>
    <row r="13" spans="1:1" x14ac:dyDescent="0.3">
      <c r="A13" s="10" t="s">
        <v>26</v>
      </c>
    </row>
    <row r="14" spans="1:1" x14ac:dyDescent="0.3">
      <c r="A14" s="10" t="s">
        <v>27</v>
      </c>
    </row>
    <row r="16" spans="1:1" x14ac:dyDescent="0.3">
      <c r="A16" s="10" t="s">
        <v>30</v>
      </c>
    </row>
    <row r="17" spans="1:1" x14ac:dyDescent="0.3">
      <c r="A17" s="10" t="s">
        <v>31</v>
      </c>
    </row>
    <row r="18" spans="1:1" x14ac:dyDescent="0.3">
      <c r="A18" s="10" t="s">
        <v>32</v>
      </c>
    </row>
    <row r="20" spans="1:1" x14ac:dyDescent="0.3">
      <c r="A20" s="10" t="s">
        <v>40</v>
      </c>
    </row>
    <row r="21" spans="1:1" x14ac:dyDescent="0.3">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GESTION DE DATOS Y DASHBOARD</cp:lastModifiedBy>
  <cp:lastPrinted>2020-05-13T01:12:22Z</cp:lastPrinted>
  <dcterms:created xsi:type="dcterms:W3CDTF">2020-03-24T23:12:47Z</dcterms:created>
  <dcterms:modified xsi:type="dcterms:W3CDTF">2025-07-04T16:40:49Z</dcterms:modified>
</cp:coreProperties>
</file>